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WBG\Buchart\Info\FAH\Homepage_NOE\"/>
    </mc:Choice>
  </mc:AlternateContent>
  <bookViews>
    <workbookView xWindow="48" yWindow="960" windowWidth="12396" windowHeight="9312"/>
  </bookViews>
  <sheets>
    <sheet name="Information" sheetId="15" r:id="rId1"/>
    <sheet name="Schlitzpass Gesamt" sheetId="1" r:id="rId2"/>
    <sheet name="Schlitzpass Einzelbecken" sheetId="11" r:id="rId3"/>
    <sheet name="Beckenpass Gesamt" sheetId="12" r:id="rId4"/>
    <sheet name="Beckenpass Einzelbecken" sheetId="13" r:id="rId5"/>
    <sheet name="Umgehungsgerinne FURT" sheetId="14" r:id="rId6"/>
  </sheets>
  <definedNames>
    <definedName name="_xlnm.Print_Area" localSheetId="4">'Beckenpass Einzelbecken'!$A$1:$I$32</definedName>
    <definedName name="_xlnm.Print_Area" localSheetId="3">'Beckenpass Gesamt'!$A$1:$I$41</definedName>
    <definedName name="_xlnm.Print_Area" localSheetId="2">'Schlitzpass Einzelbecken'!$A$1:$G$34</definedName>
    <definedName name="_xlnm.Print_Area" localSheetId="1">'Schlitzpass Gesamt'!$A$1:$G$41</definedName>
    <definedName name="_xlnm.Print_Area" localSheetId="5">'Umgehungsgerinne FURT'!$A$1:$J$34</definedName>
  </definedNames>
  <calcPr calcId="162913"/>
</workbook>
</file>

<file path=xl/calcChain.xml><?xml version="1.0" encoding="utf-8"?>
<calcChain xmlns="http://schemas.openxmlformats.org/spreadsheetml/2006/main">
  <c r="B23" i="14" l="1"/>
  <c r="B6" i="13"/>
  <c r="B11" i="13"/>
  <c r="B28" i="13"/>
  <c r="B38" i="12"/>
  <c r="B31" i="11"/>
  <c r="B9" i="11"/>
  <c r="B8" i="1"/>
  <c r="B10" i="1"/>
  <c r="B17" i="1"/>
  <c r="E16" i="11"/>
  <c r="D16" i="11"/>
  <c r="B14" i="11"/>
  <c r="B19" i="11"/>
  <c r="B20" i="11"/>
  <c r="B21" i="11"/>
  <c r="D13" i="11"/>
  <c r="B31" i="14"/>
  <c r="B32" i="14"/>
  <c r="B19" i="14"/>
  <c r="B24" i="14" s="1"/>
  <c r="B8" i="14"/>
  <c r="B10" i="14"/>
  <c r="B21" i="13"/>
  <c r="E18" i="13"/>
  <c r="D18" i="13"/>
  <c r="B17" i="13"/>
  <c r="E14" i="13"/>
  <c r="D14" i="13"/>
  <c r="E11" i="13"/>
  <c r="D11" i="13"/>
  <c r="B30" i="12"/>
  <c r="B27" i="12"/>
  <c r="B37" i="12"/>
  <c r="B26" i="12"/>
  <c r="B23" i="12"/>
  <c r="B20" i="12"/>
  <c r="B8" i="12"/>
  <c r="B10" i="12"/>
  <c r="B17" i="12"/>
  <c r="B11" i="11"/>
  <c r="B23" i="11"/>
  <c r="B7" i="11"/>
  <c r="B30" i="11"/>
  <c r="B28" i="11"/>
  <c r="B37" i="1"/>
  <c r="B35" i="1"/>
  <c r="B38" i="1"/>
  <c r="B23" i="1"/>
  <c r="B11" i="12"/>
  <c r="B12" i="12"/>
  <c r="B11" i="1"/>
  <c r="B12" i="1"/>
  <c r="B12" i="13"/>
  <c r="B23" i="13"/>
  <c r="B24" i="13"/>
  <c r="B26" i="13"/>
  <c r="B29" i="13"/>
  <c r="B7" i="13"/>
  <c r="B9" i="13"/>
  <c r="B21" i="12"/>
  <c r="B32" i="12"/>
  <c r="B33" i="12"/>
  <c r="B35" i="12"/>
  <c r="D35" i="12"/>
  <c r="B18" i="12"/>
  <c r="B13" i="12"/>
  <c r="D21" i="11"/>
  <c r="B25" i="11"/>
  <c r="B24" i="11"/>
  <c r="B18" i="1"/>
  <c r="B20" i="1"/>
  <c r="B13" i="1"/>
  <c r="D26" i="13"/>
  <c r="D25" i="11"/>
  <c r="B26" i="11"/>
  <c r="D26" i="11"/>
  <c r="B26" i="1"/>
  <c r="B27" i="1"/>
  <c r="B28" i="1"/>
  <c r="B30" i="1"/>
  <c r="D28" i="1"/>
  <c r="B32" i="1"/>
  <c r="B31" i="1"/>
  <c r="B33" i="1"/>
  <c r="D33" i="1"/>
  <c r="D32" i="1"/>
  <c r="B27" i="14" l="1"/>
  <c r="B28" i="14"/>
  <c r="B29" i="14" l="1"/>
  <c r="B30" i="14" s="1"/>
  <c r="B33" i="14" s="1"/>
  <c r="B34" i="14" s="1"/>
  <c r="D34" i="14" s="1"/>
</calcChain>
</file>

<file path=xl/comments1.xml><?xml version="1.0" encoding="utf-8"?>
<comments xmlns="http://schemas.openxmlformats.org/spreadsheetml/2006/main">
  <authors>
    <author>berni</author>
    <author>bzeiring</author>
  </authors>
  <commentList>
    <comment ref="A3" authorId="0" shapeId="0">
      <text>
        <r>
          <rPr>
            <sz val="12"/>
            <color indexed="81"/>
            <rFont val="Tahoma"/>
            <family val="2"/>
          </rPr>
          <t xml:space="preserve">veränderbare Werte
</t>
        </r>
      </text>
    </comment>
    <comment ref="D3" authorId="1" shapeId="0">
      <text>
        <r>
          <rPr>
            <sz val="12"/>
            <color indexed="81"/>
            <rFont val="Tahoma"/>
            <family val="2"/>
          </rPr>
          <t>1) Einflussvariablen für Q - Schlitzweite und  Wassertiefe
2) Einflussvariable für Turbulenz (E</t>
        </r>
        <r>
          <rPr>
            <vertAlign val="subscript"/>
            <sz val="12"/>
            <color indexed="81"/>
            <rFont val="Tahoma"/>
            <family val="2"/>
          </rPr>
          <t>vorh</t>
        </r>
        <r>
          <rPr>
            <sz val="12"/>
            <color indexed="81"/>
            <rFont val="Tahoma"/>
            <family val="2"/>
          </rPr>
          <t>) - Beckenvolumen (Länge, Breite…)</t>
        </r>
        <r>
          <rPr>
            <sz val="8"/>
            <color indexed="81"/>
            <rFont val="Tahoma"/>
            <family val="2"/>
          </rPr>
          <t xml:space="preserve">
</t>
        </r>
      </text>
    </comment>
    <comment ref="A4" authorId="0" shapeId="0">
      <text>
        <r>
          <rPr>
            <sz val="12"/>
            <color indexed="81"/>
            <rFont val="Tahoma"/>
            <family val="2"/>
          </rPr>
          <t>nicht veränderbar</t>
        </r>
      </text>
    </comment>
    <comment ref="A9" authorId="1" shapeId="0">
      <text>
        <r>
          <rPr>
            <sz val="12"/>
            <color indexed="81"/>
            <rFont val="Tahoma"/>
            <family val="2"/>
          </rPr>
          <t xml:space="preserve">Annahme
</t>
        </r>
      </text>
    </comment>
    <comment ref="A12" authorId="0" shapeId="0">
      <text>
        <r>
          <rPr>
            <sz val="12"/>
            <color indexed="81"/>
            <rFont val="Tahoma"/>
            <family val="2"/>
          </rPr>
          <t xml:space="preserve">dieser Wert geht in den nachfolgenden Berechnungen ein!
</t>
        </r>
      </text>
    </comment>
    <comment ref="A16" authorId="1" shapeId="0">
      <text>
        <r>
          <rPr>
            <sz val="12"/>
            <color indexed="81"/>
            <rFont val="Tahoma"/>
            <family val="2"/>
          </rPr>
          <t xml:space="preserve">die Schlitzweite ins Unterwasser sollte nicht größer gewählt werden, als die 2-fache Schlitzweite in den Trennelementen
</t>
        </r>
      </text>
    </comment>
  </commentList>
</comments>
</file>

<file path=xl/comments2.xml><?xml version="1.0" encoding="utf-8"?>
<comments xmlns="http://schemas.openxmlformats.org/spreadsheetml/2006/main">
  <authors>
    <author>berni</author>
    <author>bzeiring</author>
  </authors>
  <commentList>
    <comment ref="A3" authorId="0" shapeId="0">
      <text>
        <r>
          <rPr>
            <sz val="12"/>
            <color indexed="81"/>
            <rFont val="Tahoma"/>
            <family val="2"/>
          </rPr>
          <t xml:space="preserve">veränderbare Werte
</t>
        </r>
      </text>
    </comment>
    <comment ref="D3" authorId="1" shapeId="0">
      <text>
        <r>
          <rPr>
            <sz val="12"/>
            <color indexed="81"/>
            <rFont val="Tahoma"/>
            <family val="2"/>
          </rPr>
          <t>1) Einflussvariablen für Q - Schlitzweite und  Wassertiefe
2) Einflussvariable für Turbulenz (E</t>
        </r>
        <r>
          <rPr>
            <vertAlign val="subscript"/>
            <sz val="12"/>
            <color indexed="81"/>
            <rFont val="Tahoma"/>
            <family val="2"/>
          </rPr>
          <t>vorh</t>
        </r>
        <r>
          <rPr>
            <sz val="12"/>
            <color indexed="81"/>
            <rFont val="Tahoma"/>
            <family val="2"/>
          </rPr>
          <t>) - Beckenvolumen (Länge, Breite…)</t>
        </r>
        <r>
          <rPr>
            <sz val="8"/>
            <color indexed="81"/>
            <rFont val="Tahoma"/>
            <family val="2"/>
          </rPr>
          <t xml:space="preserve">
</t>
        </r>
      </text>
    </comment>
    <comment ref="A4" authorId="0" shapeId="0">
      <text>
        <r>
          <rPr>
            <sz val="12"/>
            <color indexed="81"/>
            <rFont val="Tahoma"/>
            <family val="2"/>
          </rPr>
          <t>nicht veränderbar</t>
        </r>
      </text>
    </comment>
    <comment ref="A13" authorId="1" shapeId="0">
      <text>
        <r>
          <rPr>
            <sz val="12"/>
            <color indexed="81"/>
            <rFont val="Tahoma"/>
            <family val="2"/>
          </rPr>
          <t>muss für die Berechnung von Q angegeben werden</t>
        </r>
        <r>
          <rPr>
            <b/>
            <sz val="12"/>
            <color indexed="81"/>
            <rFont val="Tahoma"/>
            <family val="2"/>
          </rPr>
          <t xml:space="preserve">
</t>
        </r>
        <r>
          <rPr>
            <sz val="8"/>
            <color indexed="81"/>
            <rFont val="Tahoma"/>
            <family val="2"/>
          </rPr>
          <t xml:space="preserve">
</t>
        </r>
      </text>
    </comment>
    <comment ref="D13" authorId="0" shapeId="0">
      <text>
        <r>
          <rPr>
            <sz val="12"/>
            <color indexed="81"/>
            <rFont val="Tahoma"/>
            <family val="2"/>
          </rPr>
          <t>WARNUNG wenn Schlitztiefe  kleiner als Beckentiefe hu</t>
        </r>
        <r>
          <rPr>
            <sz val="9"/>
            <color indexed="81"/>
            <rFont val="Tahoma"/>
            <family val="2"/>
          </rPr>
          <t xml:space="preserve">
auf Plausibilität prüfen</t>
        </r>
      </text>
    </comment>
    <comment ref="A14" authorId="1" shapeId="0">
      <text>
        <r>
          <rPr>
            <sz val="12"/>
            <color indexed="81"/>
            <rFont val="Tahoma"/>
            <family val="2"/>
          </rPr>
          <t>muss für die Berechnung von Q angegeben werden</t>
        </r>
        <r>
          <rPr>
            <sz val="8"/>
            <color indexed="81"/>
            <rFont val="Tahoma"/>
            <family val="2"/>
          </rPr>
          <t xml:space="preserve">
</t>
        </r>
      </text>
    </comment>
    <comment ref="D16" authorId="0" shapeId="0">
      <text>
        <r>
          <rPr>
            <sz val="12"/>
            <color indexed="81"/>
            <rFont val="Tahoma"/>
            <family val="2"/>
          </rPr>
          <t>WARNUNG wenn Annahme  kleiner als Richtwert</t>
        </r>
        <r>
          <rPr>
            <sz val="9"/>
            <color indexed="81"/>
            <rFont val="Tahoma"/>
            <family val="2"/>
          </rPr>
          <t xml:space="preserve">
auf Plausibilität prüfen</t>
        </r>
      </text>
    </comment>
  </commentList>
</comments>
</file>

<file path=xl/comments3.xml><?xml version="1.0" encoding="utf-8"?>
<comments xmlns="http://schemas.openxmlformats.org/spreadsheetml/2006/main">
  <authors>
    <author>berni</author>
    <author>bzeiring</author>
  </authors>
  <commentList>
    <comment ref="A3" authorId="0" shapeId="0">
      <text>
        <r>
          <rPr>
            <sz val="12"/>
            <color indexed="81"/>
            <rFont val="Tahoma"/>
            <family val="2"/>
          </rPr>
          <t xml:space="preserve">veränderbare Werte
</t>
        </r>
      </text>
    </comment>
    <comment ref="D3" authorId="1" shapeId="0">
      <text>
        <r>
          <rPr>
            <sz val="12"/>
            <color indexed="81"/>
            <rFont val="Tahoma"/>
            <family val="2"/>
          </rPr>
          <t>1) Einflussvariablen für Q - Breite der Durchlassöffnung und Schlitztiefe (indirekt über Wassertiefe im Becken)
2) Einflussvariable für Turbulenz (E</t>
        </r>
        <r>
          <rPr>
            <vertAlign val="subscript"/>
            <sz val="12"/>
            <color indexed="81"/>
            <rFont val="Tahoma"/>
            <family val="2"/>
          </rPr>
          <t>vorh</t>
        </r>
        <r>
          <rPr>
            <sz val="12"/>
            <color indexed="81"/>
            <rFont val="Tahoma"/>
            <family val="2"/>
          </rPr>
          <t>) - Beckenvolumen (Länge, Breite…)</t>
        </r>
        <r>
          <rPr>
            <sz val="8"/>
            <color indexed="81"/>
            <rFont val="Tahoma"/>
            <family val="2"/>
          </rPr>
          <t xml:space="preserve">
</t>
        </r>
      </text>
    </comment>
    <comment ref="A4" authorId="0" shapeId="0">
      <text>
        <r>
          <rPr>
            <sz val="12"/>
            <color indexed="81"/>
            <rFont val="Tahoma"/>
            <family val="2"/>
          </rPr>
          <t>nicht veränderbar</t>
        </r>
      </text>
    </comment>
    <comment ref="A12" authorId="1" shapeId="0">
      <text>
        <r>
          <rPr>
            <sz val="12"/>
            <color indexed="81"/>
            <rFont val="Tahoma"/>
            <family val="2"/>
          </rPr>
          <t xml:space="preserve">dieser Wert geht in den nachfolgenden Berechnungen ein!
</t>
        </r>
      </text>
    </comment>
    <comment ref="A16" authorId="1" shapeId="0">
      <text>
        <r>
          <rPr>
            <sz val="12"/>
            <color indexed="81"/>
            <rFont val="Tahoma"/>
            <family val="2"/>
          </rPr>
          <t xml:space="preserve">die Schlitzweite ins Unterwasser sollte nicht größer gewählt werden, als die 2-fache Schlitzweite in den Steinschwellen
</t>
        </r>
      </text>
    </comment>
  </commentList>
</comments>
</file>

<file path=xl/comments4.xml><?xml version="1.0" encoding="utf-8"?>
<comments xmlns="http://schemas.openxmlformats.org/spreadsheetml/2006/main">
  <authors>
    <author>berni</author>
    <author>bzeiring</author>
  </authors>
  <commentList>
    <comment ref="A3" authorId="0" shapeId="0">
      <text>
        <r>
          <rPr>
            <sz val="12"/>
            <color indexed="81"/>
            <rFont val="Tahoma"/>
            <family val="2"/>
          </rPr>
          <t xml:space="preserve">veränderbare Werte
</t>
        </r>
      </text>
    </comment>
    <comment ref="D3" authorId="1" shapeId="0">
      <text>
        <r>
          <rPr>
            <sz val="12"/>
            <color indexed="81"/>
            <rFont val="Tahoma"/>
            <family val="2"/>
          </rPr>
          <t>1) Einflussvariablen für Q - Breite der Durchlassöffnung und Schlitztiefe
2) Einflussvariable für Turbulenz (E</t>
        </r>
        <r>
          <rPr>
            <vertAlign val="subscript"/>
            <sz val="12"/>
            <color indexed="81"/>
            <rFont val="Tahoma"/>
            <family val="2"/>
          </rPr>
          <t>vorh</t>
        </r>
        <r>
          <rPr>
            <sz val="12"/>
            <color indexed="81"/>
            <rFont val="Tahoma"/>
            <family val="2"/>
          </rPr>
          <t>) - Beckenvolumen (Länge, Breite…)</t>
        </r>
        <r>
          <rPr>
            <sz val="8"/>
            <color indexed="81"/>
            <rFont val="Tahoma"/>
            <family val="2"/>
          </rPr>
          <t xml:space="preserve">
</t>
        </r>
      </text>
    </comment>
    <comment ref="A4" authorId="0" shapeId="0">
      <text>
        <r>
          <rPr>
            <sz val="12"/>
            <color indexed="81"/>
            <rFont val="Tahoma"/>
            <family val="2"/>
          </rPr>
          <t>nicht veränderbar</t>
        </r>
      </text>
    </comment>
    <comment ref="D11" authorId="0" shapeId="0">
      <text>
        <r>
          <rPr>
            <sz val="12"/>
            <color indexed="81"/>
            <rFont val="Tahoma"/>
            <family val="2"/>
          </rPr>
          <t>WARNUNG wenn Annahme kleiner als Richtwert</t>
        </r>
        <r>
          <rPr>
            <sz val="9"/>
            <color indexed="81"/>
            <rFont val="Tahoma"/>
            <family val="2"/>
          </rPr>
          <t xml:space="preserve">
auf Plausibilität prüfen</t>
        </r>
      </text>
    </comment>
    <comment ref="D14" authorId="0" shapeId="0">
      <text>
        <r>
          <rPr>
            <sz val="12"/>
            <color indexed="81"/>
            <rFont val="Tahoma"/>
            <family val="2"/>
          </rPr>
          <t>WARNUNG wenn Annahme kleiner als Richtwert</t>
        </r>
        <r>
          <rPr>
            <sz val="9"/>
            <color indexed="81"/>
            <rFont val="Tahoma"/>
            <family val="2"/>
          </rPr>
          <t xml:space="preserve">
auf Plausibilität prüfen</t>
        </r>
      </text>
    </comment>
    <comment ref="D18" authorId="0" shapeId="0">
      <text>
        <r>
          <rPr>
            <sz val="12"/>
            <color indexed="81"/>
            <rFont val="Tahoma"/>
            <family val="2"/>
          </rPr>
          <t>WARNUNG wenn Annahme kleiner als Richtwert</t>
        </r>
        <r>
          <rPr>
            <sz val="9"/>
            <color indexed="81"/>
            <rFont val="Tahoma"/>
            <family val="2"/>
          </rPr>
          <t xml:space="preserve">
auf Plausibilität prüfen</t>
        </r>
      </text>
    </comment>
  </commentList>
</comments>
</file>

<file path=xl/comments5.xml><?xml version="1.0" encoding="utf-8"?>
<comments xmlns="http://schemas.openxmlformats.org/spreadsheetml/2006/main">
  <authors>
    <author>berni</author>
  </authors>
  <commentList>
    <comment ref="A3" authorId="0" shapeId="0">
      <text>
        <r>
          <rPr>
            <sz val="12"/>
            <color indexed="81"/>
            <rFont val="Tahoma"/>
            <family val="2"/>
          </rPr>
          <t xml:space="preserve">veränderbare Werte
</t>
        </r>
      </text>
    </comment>
    <comment ref="A4" authorId="0" shapeId="0">
      <text>
        <r>
          <rPr>
            <sz val="12"/>
            <color indexed="81"/>
            <rFont val="Tahoma"/>
            <family val="2"/>
          </rPr>
          <t>nicht veränderbar</t>
        </r>
      </text>
    </comment>
  </commentList>
</comments>
</file>

<file path=xl/sharedStrings.xml><?xml version="1.0" encoding="utf-8"?>
<sst xmlns="http://schemas.openxmlformats.org/spreadsheetml/2006/main" count="406" uniqueCount="143">
  <si>
    <t>Kalkulation der Energiedissipation:</t>
  </si>
  <si>
    <t>l/s</t>
  </si>
  <si>
    <t>Annahmen:</t>
  </si>
  <si>
    <t>Gefälle I [%]</t>
  </si>
  <si>
    <t>siehe Grundlagen für FWH Planungen - KENNWERTE</t>
  </si>
  <si>
    <t>WSP Oberwasser</t>
  </si>
  <si>
    <t>[m ü.A.]</t>
  </si>
  <si>
    <t>WSP Unterwasser</t>
  </si>
  <si>
    <r>
      <t>Gesamthöhe H</t>
    </r>
    <r>
      <rPr>
        <vertAlign val="subscript"/>
        <sz val="10"/>
        <rFont val="Arial"/>
        <family val="2"/>
      </rPr>
      <t>ges</t>
    </r>
  </si>
  <si>
    <t>[m]</t>
  </si>
  <si>
    <t>max. Wsp.Diff. Δh</t>
  </si>
  <si>
    <t>[ ]</t>
  </si>
  <si>
    <t>[m/s]</t>
  </si>
  <si>
    <r>
      <t>Anzahl der Becken n</t>
    </r>
    <r>
      <rPr>
        <vertAlign val="subscript"/>
        <sz val="10"/>
        <rFont val="Arial"/>
        <family val="2"/>
      </rPr>
      <t>b</t>
    </r>
  </si>
  <si>
    <r>
      <t>Anzahl der Schlitze n</t>
    </r>
    <r>
      <rPr>
        <vertAlign val="subscript"/>
        <sz val="10"/>
        <rFont val="Arial"/>
        <family val="2"/>
      </rPr>
      <t>s</t>
    </r>
  </si>
  <si>
    <t>[kg/m³]</t>
  </si>
  <si>
    <t>[m/s²]</t>
  </si>
  <si>
    <t>Schlitzbreite s</t>
  </si>
  <si>
    <t>Beckenlänge lb</t>
  </si>
  <si>
    <t>Beckenbreite b</t>
  </si>
  <si>
    <t>Stärke Staubohlen d</t>
  </si>
  <si>
    <t>Länge des Vorsatzes c</t>
  </si>
  <si>
    <t>Versatzmaß a</t>
  </si>
  <si>
    <t>Breite Umlenkblock f</t>
  </si>
  <si>
    <t>siehe DVWK 1996</t>
  </si>
  <si>
    <t>Fallbeschleunigung g</t>
  </si>
  <si>
    <t>Gesamtlänge Schlitzpass</t>
  </si>
  <si>
    <t>[%]</t>
  </si>
  <si>
    <t>Länge Vorlaufbecken</t>
  </si>
  <si>
    <t>Länge Nachlaufbecken</t>
  </si>
  <si>
    <t>Verhältnis hu/ho</t>
  </si>
  <si>
    <t>für scharfkantige Schlitzbegrenzung (siehe Skizze)</t>
  </si>
  <si>
    <t>[m³/s]</t>
  </si>
  <si>
    <t>Abfluss - Dotation (Q):</t>
  </si>
  <si>
    <t>Beckenanzal und Spiegeldifferenz:</t>
  </si>
  <si>
    <t>Beckengröße und -geometrie:</t>
  </si>
  <si>
    <t>mittlere Beckentiefe hm=(ho+hu)/2</t>
  </si>
  <si>
    <t>[W/m³]</t>
  </si>
  <si>
    <t>Grenztiefe hgr</t>
  </si>
  <si>
    <t>somit kein schießender Abfluss</t>
  </si>
  <si>
    <r>
      <t xml:space="preserve">errechnete </t>
    </r>
    <r>
      <rPr>
        <sz val="10"/>
        <rFont val="Calibri"/>
        <family val="2"/>
      </rPr>
      <t>Ø</t>
    </r>
    <r>
      <rPr>
        <sz val="10"/>
        <rFont val="Arial"/>
        <family val="2"/>
      </rPr>
      <t xml:space="preserve"> Wsp.Diff. Δh</t>
    </r>
  </si>
  <si>
    <r>
      <t xml:space="preserve">Abflussbeiwert </t>
    </r>
    <r>
      <rPr>
        <sz val="10"/>
        <rFont val="Calibri"/>
        <family val="2"/>
      </rPr>
      <t>µr</t>
    </r>
    <r>
      <rPr>
        <sz val="10"/>
        <rFont val="Arial"/>
        <family val="2"/>
      </rPr>
      <t xml:space="preserve"> = f(hu/ho)</t>
    </r>
  </si>
  <si>
    <r>
      <t>E</t>
    </r>
    <r>
      <rPr>
        <b/>
        <vertAlign val="subscript"/>
        <sz val="10"/>
        <rFont val="Arial"/>
        <family val="2"/>
      </rPr>
      <t>vorh</t>
    </r>
  </si>
  <si>
    <t>Legende:</t>
  </si>
  <si>
    <r>
      <t>Maximale Fließgeschwindigkeit v</t>
    </r>
    <r>
      <rPr>
        <vertAlign val="subscript"/>
        <sz val="10"/>
        <rFont val="Arial"/>
        <family val="2"/>
      </rPr>
      <t>max</t>
    </r>
  </si>
  <si>
    <r>
      <t>Anzahl der Schwellen n</t>
    </r>
    <r>
      <rPr>
        <vertAlign val="subscript"/>
        <sz val="10"/>
        <rFont val="Arial"/>
        <family val="2"/>
      </rPr>
      <t>s</t>
    </r>
  </si>
  <si>
    <t>Beckentiefe</t>
  </si>
  <si>
    <t>Schlitztiefe hü</t>
  </si>
  <si>
    <t>Tiefe des Unterwasserstandes an der Schwelle  h</t>
  </si>
  <si>
    <t>Durchlassöffnung w-förmig (2*sw)</t>
  </si>
  <si>
    <t>Stärke Steinschwelle d</t>
  </si>
  <si>
    <t>Schätzung (Steindurchmesser)</t>
  </si>
  <si>
    <t>Böschungsneigung m</t>
  </si>
  <si>
    <t>Böschungsneigung n</t>
  </si>
  <si>
    <t>Abminderungsbeiwert δ</t>
  </si>
  <si>
    <t>Verhältnis h/hü (Einfluss Unterwasser)</t>
  </si>
  <si>
    <r>
      <t xml:space="preserve">wenn </t>
    </r>
    <r>
      <rPr>
        <sz val="10"/>
        <rFont val="Calibri"/>
        <family val="2"/>
      </rPr>
      <t>δ</t>
    </r>
    <r>
      <rPr>
        <sz val="10"/>
        <rFont val="Arial"/>
        <family val="2"/>
      </rPr>
      <t>=1 dann rückstaufreier Abfluss (vollkommener Überfall)</t>
    </r>
  </si>
  <si>
    <r>
      <t xml:space="preserve">Abflussbeiwert </t>
    </r>
    <r>
      <rPr>
        <sz val="10"/>
        <rFont val="Calibri"/>
        <family val="2"/>
      </rPr>
      <t>µr</t>
    </r>
  </si>
  <si>
    <t>Böschungsverhltnis n:m</t>
  </si>
  <si>
    <t>mittlerer Querschnitt A</t>
  </si>
  <si>
    <r>
      <t>Gesamtlänge Umgehungsgerinne L</t>
    </r>
    <r>
      <rPr>
        <vertAlign val="subscript"/>
        <sz val="10"/>
        <rFont val="Arial"/>
        <family val="2"/>
      </rPr>
      <t>ges</t>
    </r>
  </si>
  <si>
    <t>min. Breite der Tiefenrinne</t>
  </si>
  <si>
    <t>(1,5 fache Breite der 3 fachen Fischbreite)</t>
  </si>
  <si>
    <r>
      <t>[m</t>
    </r>
    <r>
      <rPr>
        <vertAlign val="superscript"/>
        <sz val="10"/>
        <rFont val="Arial"/>
        <family val="2"/>
      </rPr>
      <t>1/3</t>
    </r>
    <r>
      <rPr>
        <sz val="10"/>
        <rFont val="Arial"/>
        <family val="2"/>
      </rPr>
      <t>/s]</t>
    </r>
  </si>
  <si>
    <t>Querschnitt A</t>
  </si>
  <si>
    <r>
      <t>[m</t>
    </r>
    <r>
      <rPr>
        <vertAlign val="superscript"/>
        <sz val="10"/>
        <rFont val="Arial"/>
        <family val="2"/>
      </rPr>
      <t>2</t>
    </r>
    <r>
      <rPr>
        <sz val="10"/>
        <rFont val="Arial"/>
        <family val="2"/>
      </rPr>
      <t>]</t>
    </r>
  </si>
  <si>
    <r>
      <t>hydraulischer Radius r</t>
    </r>
    <r>
      <rPr>
        <vertAlign val="subscript"/>
        <sz val="10"/>
        <rFont val="Arial"/>
        <family val="2"/>
      </rPr>
      <t>hy</t>
    </r>
    <r>
      <rPr>
        <sz val="10"/>
        <rFont val="Arial"/>
        <family val="2"/>
      </rPr>
      <t>=A/Iu</t>
    </r>
  </si>
  <si>
    <r>
      <t>Energieliniengefälle Furt I</t>
    </r>
    <r>
      <rPr>
        <vertAlign val="subscript"/>
        <sz val="10"/>
        <rFont val="Arial"/>
        <family val="2"/>
      </rPr>
      <t>E</t>
    </r>
  </si>
  <si>
    <t>1,5 fache des Gesamtgerinnegefälles (Annahme)</t>
  </si>
  <si>
    <t>siehe Grundlagen für FWH Planungen - KENNWERTE (min. Maximaltiefen vom Beckenpass übernehmen)</t>
  </si>
  <si>
    <t xml:space="preserve">Gefälle I </t>
  </si>
  <si>
    <t>Böschungsverhältnis n:m</t>
  </si>
  <si>
    <t>Böschungen:</t>
  </si>
  <si>
    <t>Stricklerbeiwert kstr</t>
  </si>
  <si>
    <t>benetzter Umfang Iu</t>
  </si>
  <si>
    <t>min. Maximaltiefe der Furt</t>
  </si>
  <si>
    <t>min. Breite Furt</t>
  </si>
  <si>
    <t>mittlere Fließgeschwindigkeit</t>
  </si>
  <si>
    <t>Hydraulischer Radius hoch 2/3</t>
  </si>
  <si>
    <t>Ie hoch 1/2</t>
  </si>
  <si>
    <t>Prallufer</t>
  </si>
  <si>
    <t>Gleitufer</t>
  </si>
  <si>
    <t>Fließformel nach Manning/Strickler:</t>
  </si>
  <si>
    <t>Richtwert: 1m pro 100 l/s</t>
  </si>
  <si>
    <t>Berechnung (Annäherung) Furt:</t>
  </si>
  <si>
    <t>Berechnungsshema Umgehungsgerinne</t>
  </si>
  <si>
    <t>Beckenlänge lb (Buttolänge; inkl. Steinschwelle)</t>
  </si>
  <si>
    <t>Eingangsparameter bzw. Annahmen</t>
  </si>
  <si>
    <t>[°]</t>
  </si>
  <si>
    <t>Detail: Schlitzgeometrie</t>
  </si>
  <si>
    <t>Konstanten:</t>
  </si>
  <si>
    <t>2/3 der Beckenlänge</t>
  </si>
  <si>
    <t>praxistaugliche Trennwandstärken 5 - 15 cm</t>
  </si>
  <si>
    <r>
      <t>Wasserdichte ρ</t>
    </r>
    <r>
      <rPr>
        <vertAlign val="subscript"/>
        <sz val="10"/>
        <color indexed="23"/>
        <rFont val="Arial"/>
        <family val="2"/>
      </rPr>
      <t>H2O</t>
    </r>
  </si>
  <si>
    <t>Abfluss Q</t>
  </si>
  <si>
    <t>Wichtige Berechnungsergebnisse &amp; Kennwerte</t>
  </si>
  <si>
    <t>Wsp.Diff. Δh</t>
  </si>
  <si>
    <t>Berechnungsshema Schlitzpass (vertical slot) - gesamte Anlage</t>
  </si>
  <si>
    <t xml:space="preserve">  Richtwert: 2/3 der Beckenlänge</t>
  </si>
  <si>
    <t>kritische Geschwindigkeit vgr</t>
  </si>
  <si>
    <t>Schlitzweite unten sw (Sohle)</t>
  </si>
  <si>
    <t>siehe Grundlagen für FWH Planungen - KENNWERTE (mind. 3fache Fischbreite)</t>
  </si>
  <si>
    <t>Schlitzweite oben 2 x sw (Wsp)</t>
  </si>
  <si>
    <t>Beckenlänge l; lichte Länge</t>
  </si>
  <si>
    <t>Richtwert: 2/3 der Beckenlänge l</t>
  </si>
  <si>
    <t>Vertikaldistanz (&gt;0)</t>
  </si>
  <si>
    <t>Horizontaldistanz (&gt;0)</t>
  </si>
  <si>
    <t>0.6 für breite scharfkantige Steine</t>
  </si>
  <si>
    <t>[l/s]</t>
  </si>
  <si>
    <t xml:space="preserve">Trapezquerschnitt </t>
  </si>
  <si>
    <t>Berechnungsshema Beckenpass - Einzelbecken (variable Annahmen möglich)</t>
  </si>
  <si>
    <t>Richtwert: 2/3 der Beckentiefe</t>
  </si>
  <si>
    <t>Richtwert: Durchlassöffnung w-förmig (2*sw)</t>
  </si>
  <si>
    <t>Gerinnetiefe (Pool - Mindesttiefe)</t>
  </si>
  <si>
    <t>0,8</t>
  </si>
  <si>
    <t>siehe Grundlagen für FWH Planungen - KENNWERTE (geht nicht in die Berechnung für die Furt ein)</t>
  </si>
  <si>
    <t>Sollwert für Vertikaldistanz (&gt;0)</t>
  </si>
  <si>
    <t>Sollwert für Horizontaldistanz (&gt;0)</t>
  </si>
  <si>
    <t>25 allgemeine Annahme; 30 für Epipotamal groß; 35 für Donau</t>
  </si>
  <si>
    <t>Oberwassertiefe ho (im Becken)</t>
  </si>
  <si>
    <t>min. Wassertiefe hu (im Becken)</t>
  </si>
  <si>
    <t>min. Wassertiefe hu (im Schlitz)</t>
  </si>
  <si>
    <t>Oberwassertiefe ho (im Schlitz)</t>
  </si>
  <si>
    <t>Berechnungsshema Schlitzpass (vertical slot) - Einzelbecken (variable Annahmen möglich)</t>
  </si>
  <si>
    <t>Wasserspiegeldifferenz und Vmax:</t>
  </si>
  <si>
    <t>Berechnungsshema Beckenpass - gesamte Anlage</t>
  </si>
  <si>
    <r>
      <t>Wasserdichte ρ</t>
    </r>
    <r>
      <rPr>
        <vertAlign val="subscript"/>
        <sz val="10"/>
        <color indexed="23"/>
        <rFont val="Arial"/>
        <family val="2"/>
      </rPr>
      <t>H2O</t>
    </r>
  </si>
  <si>
    <t>Hinweis !</t>
  </si>
  <si>
    <t>Richtwert: I  0.3 - 3% abhängig von Fischregion und Gewässergröße (siehe FAH Standard in prep.)</t>
  </si>
  <si>
    <t>auf Niederwasserkote projektieren</t>
  </si>
  <si>
    <r>
      <t>Ablenkwinkel (</t>
    </r>
    <r>
      <rPr>
        <sz val="10"/>
        <color indexed="23"/>
        <rFont val="GreekC"/>
      </rPr>
      <t>a</t>
    </r>
    <r>
      <rPr>
        <sz val="10"/>
        <color indexed="23"/>
        <rFont val="Arial"/>
        <family val="2"/>
      </rPr>
      <t>) der Schlitzströmung - Sollwert</t>
    </r>
  </si>
  <si>
    <r>
      <t xml:space="preserve">ab einer Abweichung der Tolerenzhöhe von einem Drittel </t>
    </r>
    <r>
      <rPr>
        <sz val="10"/>
        <rFont val="Calibri"/>
        <family val="2"/>
      </rPr>
      <t>∆</t>
    </r>
    <r>
      <rPr>
        <sz val="10"/>
        <rFont val="Arial"/>
        <family val="2"/>
      </rPr>
      <t>h wird n</t>
    </r>
    <r>
      <rPr>
        <vertAlign val="subscript"/>
        <sz val="10"/>
        <rFont val="Arial"/>
        <family val="2"/>
      </rPr>
      <t>b</t>
    </r>
    <r>
      <rPr>
        <sz val="10"/>
        <rFont val="Arial"/>
        <family val="2"/>
      </rPr>
      <t xml:space="preserve"> aufgerundet</t>
    </r>
  </si>
  <si>
    <r>
      <t xml:space="preserve">ab einer Abweichung der Toleranzhöhe von einem Drittel </t>
    </r>
    <r>
      <rPr>
        <sz val="10"/>
        <rFont val="Calibri"/>
        <family val="2"/>
      </rPr>
      <t>∆</t>
    </r>
    <r>
      <rPr>
        <sz val="10"/>
        <rFont val="Arial"/>
        <family val="2"/>
      </rPr>
      <t>h wird n</t>
    </r>
    <r>
      <rPr>
        <vertAlign val="subscript"/>
        <sz val="10"/>
        <rFont val="Arial"/>
        <family val="2"/>
      </rPr>
      <t>s</t>
    </r>
    <r>
      <rPr>
        <sz val="10"/>
        <rFont val="Arial"/>
        <family val="2"/>
      </rPr>
      <t xml:space="preserve"> aufgerundet</t>
    </r>
  </si>
  <si>
    <r>
      <rPr>
        <sz val="10"/>
        <rFont val="Calibri"/>
        <family val="2"/>
      </rPr>
      <t xml:space="preserve">≥ </t>
    </r>
    <r>
      <rPr>
        <sz val="10"/>
        <rFont val="Arial"/>
        <family val="2"/>
      </rPr>
      <t>Beckenlänge, um Turbulenzen zu minimieren</t>
    </r>
  </si>
  <si>
    <r>
      <rPr>
        <sz val="10"/>
        <rFont val="Calibri"/>
        <family val="2"/>
      </rPr>
      <t>≥</t>
    </r>
    <r>
      <rPr>
        <sz val="10"/>
        <rFont val="Arial"/>
        <family val="2"/>
      </rPr>
      <t xml:space="preserve"> Beckenlänge, um Turbulenzen zu minimieren</t>
    </r>
  </si>
  <si>
    <t>Hinweise und Information zum Berechnungsblatt</t>
  </si>
  <si>
    <t xml:space="preserve">
</t>
  </si>
  <si>
    <t>Beckenvolumen</t>
  </si>
  <si>
    <t>lichte Länge * lichte Breite * halbe Beckentiefe</t>
  </si>
  <si>
    <t>Die Vorgaben des "Leitfadens zum Bau von Fischaufstiegshilfen 2021" (2. Auflage) sind als Grundlage für die Bemessung und Planung von Fischaufstiegshilfen heranzuziehen.</t>
  </si>
  <si>
    <t xml:space="preserve">Die in dieser Datei enthaltenen Bemessungsblätter für die Bautypen Schlitzpass, Beckenpass und "Umgehungsgerinne (Furt)" wurden nach bestem Wissen auf Basis der Vorgaben des Leitfadens erstellt. Eine Gewährleistung für die Richtigkeit und allgemeine Gültigkeit der Angaben kann nicht abgeleitet werden. </t>
  </si>
  <si>
    <t>Die Tabellenblätter dienen lediglich der Unterstützung zur Bemessung von Fischaufstiegshilfen und können eine fachkundige Planung nicht ersetzen.</t>
  </si>
  <si>
    <t xml:space="preserve">Für weitere dem Stand der Technik entsprechende Bautypen sind die Vorgaben und Bemessungsparameter des FAH-Leitfadens zu beachten/heranzuziehen.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</si>
</sst>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
    <numFmt numFmtId="166" formatCode="0.0000"/>
    <numFmt numFmtId="167" formatCode="0.0000000"/>
    <numFmt numFmtId="168" formatCode="0.0000000000"/>
    <numFmt numFmtId="169" formatCode="0.00000000000000000000"/>
  </numFmts>
  <fonts count="30" x14ac:knownFonts="1">
    <font>
      <sz val="10"/>
      <name val="Arial"/>
    </font>
    <font>
      <sz val="10"/>
      <name val="Arial"/>
      <family val="2"/>
    </font>
    <font>
      <b/>
      <sz val="10"/>
      <name val="Arial"/>
      <family val="2"/>
    </font>
    <font>
      <sz val="10"/>
      <color indexed="10"/>
      <name val="Arial"/>
      <family val="2"/>
    </font>
    <font>
      <b/>
      <sz val="12"/>
      <name val="Arial"/>
      <family val="2"/>
    </font>
    <font>
      <sz val="8"/>
      <name val="Arial"/>
      <family val="2"/>
    </font>
    <font>
      <sz val="10"/>
      <name val="Arial"/>
      <family val="2"/>
    </font>
    <font>
      <sz val="10"/>
      <name val="Calibri"/>
      <family val="2"/>
    </font>
    <font>
      <sz val="10"/>
      <name val="Arial"/>
      <family val="2"/>
    </font>
    <font>
      <sz val="20"/>
      <name val="Arial"/>
      <family val="2"/>
    </font>
    <font>
      <vertAlign val="subscript"/>
      <sz val="10"/>
      <name val="Arial"/>
      <family val="2"/>
    </font>
    <font>
      <b/>
      <vertAlign val="subscript"/>
      <sz val="10"/>
      <name val="Arial"/>
      <family val="2"/>
    </font>
    <font>
      <b/>
      <u/>
      <sz val="10"/>
      <name val="Arial"/>
      <family val="2"/>
    </font>
    <font>
      <sz val="10"/>
      <color indexed="10"/>
      <name val="Arial"/>
      <family val="2"/>
    </font>
    <font>
      <vertAlign val="superscript"/>
      <sz val="10"/>
      <name val="Arial"/>
      <family val="2"/>
    </font>
    <font>
      <sz val="10"/>
      <color indexed="8"/>
      <name val="Arial"/>
      <family val="2"/>
    </font>
    <font>
      <i/>
      <sz val="10"/>
      <color indexed="10"/>
      <name val="Arial"/>
      <family val="2"/>
    </font>
    <font>
      <b/>
      <sz val="12"/>
      <color indexed="81"/>
      <name val="Tahoma"/>
      <family val="2"/>
    </font>
    <font>
      <sz val="12"/>
      <color indexed="81"/>
      <name val="Tahoma"/>
      <family val="2"/>
    </font>
    <font>
      <u/>
      <sz val="10"/>
      <name val="Arial"/>
      <family val="2"/>
    </font>
    <font>
      <vertAlign val="subscript"/>
      <sz val="10"/>
      <color indexed="23"/>
      <name val="Arial"/>
      <family val="2"/>
    </font>
    <font>
      <sz val="9"/>
      <color indexed="81"/>
      <name val="Tahoma"/>
      <family val="2"/>
    </font>
    <font>
      <sz val="8"/>
      <color indexed="81"/>
      <name val="Tahoma"/>
      <family val="2"/>
    </font>
    <font>
      <sz val="10"/>
      <color indexed="23"/>
      <name val="Arial"/>
      <family val="2"/>
    </font>
    <font>
      <vertAlign val="subscript"/>
      <sz val="12"/>
      <color indexed="81"/>
      <name val="Tahoma"/>
      <family val="2"/>
    </font>
    <font>
      <sz val="10"/>
      <color indexed="23"/>
      <name val="GreekC"/>
    </font>
    <font>
      <sz val="10"/>
      <color theme="1" tint="0.34998626667073579"/>
      <name val="Arial"/>
      <family val="2"/>
    </font>
    <font>
      <b/>
      <u/>
      <sz val="10"/>
      <color theme="1" tint="0.34998626667073579"/>
      <name val="Arial"/>
      <family val="2"/>
    </font>
    <font>
      <sz val="10"/>
      <color rgb="FFFF0000"/>
      <name val="Arial"/>
      <family val="2"/>
    </font>
    <font>
      <u/>
      <sz val="10"/>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6">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5">
    <xf numFmtId="0" fontId="0" fillId="0" borderId="0" xfId="0"/>
    <xf numFmtId="2" fontId="8" fillId="0" borderId="1" xfId="0" applyNumberFormat="1" applyFont="1" applyBorder="1" applyAlignment="1" applyProtection="1">
      <alignment vertical="center"/>
    </xf>
    <xf numFmtId="2" fontId="8" fillId="0" borderId="0" xfId="0" applyNumberFormat="1" applyFont="1" applyBorder="1" applyAlignment="1" applyProtection="1">
      <alignment vertical="center"/>
    </xf>
    <xf numFmtId="0" fontId="8" fillId="0" borderId="0" xfId="0" applyFont="1" applyBorder="1" applyAlignment="1" applyProtection="1">
      <alignment vertical="center"/>
    </xf>
    <xf numFmtId="1" fontId="8" fillId="0" borderId="1" xfId="0" applyNumberFormat="1" applyFont="1" applyFill="1" applyBorder="1" applyAlignment="1" applyProtection="1">
      <alignment vertical="center"/>
    </xf>
    <xf numFmtId="2" fontId="8" fillId="0" borderId="1" xfId="0" applyNumberFormat="1" applyFont="1" applyFill="1" applyBorder="1" applyAlignment="1" applyProtection="1">
      <alignment vertical="center"/>
    </xf>
    <xf numFmtId="2" fontId="8" fillId="2" borderId="0" xfId="0" applyNumberFormat="1" applyFont="1" applyFill="1" applyBorder="1" applyAlignment="1" applyProtection="1">
      <alignment vertical="center"/>
      <protection locked="0"/>
    </xf>
    <xf numFmtId="165" fontId="8" fillId="3" borderId="0" xfId="0" applyNumberFormat="1" applyFont="1" applyFill="1" applyBorder="1" applyAlignment="1" applyProtection="1">
      <alignment vertical="center"/>
    </xf>
    <xf numFmtId="164" fontId="8" fillId="3" borderId="1" xfId="0" applyNumberFormat="1" applyFont="1" applyFill="1" applyBorder="1" applyAlignment="1" applyProtection="1">
      <alignment vertical="center"/>
    </xf>
    <xf numFmtId="1" fontId="8" fillId="0" borderId="0" xfId="0" applyNumberFormat="1" applyFont="1" applyFill="1" applyBorder="1" applyAlignment="1" applyProtection="1">
      <alignment vertical="center"/>
    </xf>
    <xf numFmtId="164" fontId="8" fillId="0" borderId="0" xfId="0" applyNumberFormat="1" applyFont="1" applyFill="1" applyBorder="1" applyAlignment="1" applyProtection="1">
      <alignment vertical="center"/>
    </xf>
    <xf numFmtId="2" fontId="8" fillId="0" borderId="0" xfId="0" applyNumberFormat="1" applyFont="1" applyFill="1" applyBorder="1" applyAlignment="1" applyProtection="1">
      <alignment vertical="center"/>
    </xf>
    <xf numFmtId="2" fontId="8" fillId="2" borderId="1" xfId="0" applyNumberFormat="1" applyFont="1" applyFill="1" applyBorder="1" applyAlignment="1" applyProtection="1">
      <alignment vertical="center"/>
      <protection locked="0"/>
    </xf>
    <xf numFmtId="2" fontId="8" fillId="0" borderId="0" xfId="0" applyNumberFormat="1" applyFont="1" applyBorder="1" applyAlignment="1" applyProtection="1">
      <alignment vertical="center"/>
      <protection hidden="1"/>
    </xf>
    <xf numFmtId="2" fontId="26" fillId="0" borderId="0" xfId="0" applyNumberFormat="1" applyFont="1" applyFill="1" applyBorder="1" applyAlignment="1" applyProtection="1">
      <alignment vertical="center"/>
    </xf>
    <xf numFmtId="1" fontId="26" fillId="0" borderId="0" xfId="0" applyNumberFormat="1" applyFont="1" applyFill="1" applyBorder="1" applyAlignment="1" applyProtection="1">
      <alignment vertical="center"/>
    </xf>
    <xf numFmtId="2" fontId="26" fillId="0" borderId="1" xfId="0" applyNumberFormat="1" applyFont="1" applyFill="1" applyBorder="1" applyAlignment="1" applyProtection="1">
      <alignment vertical="center"/>
    </xf>
    <xf numFmtId="0" fontId="26" fillId="0" borderId="0" xfId="0" applyFont="1" applyFill="1" applyBorder="1" applyAlignment="1" applyProtection="1">
      <alignment vertical="center"/>
    </xf>
    <xf numFmtId="0" fontId="26" fillId="0" borderId="1" xfId="0" applyFont="1" applyFill="1" applyBorder="1" applyAlignment="1" applyProtection="1">
      <alignment vertical="center"/>
    </xf>
    <xf numFmtId="0" fontId="27" fillId="0" borderId="2" xfId="0" applyFont="1" applyFill="1" applyBorder="1" applyAlignment="1" applyProtection="1">
      <alignment vertical="center"/>
    </xf>
    <xf numFmtId="2" fontId="26" fillId="0" borderId="2" xfId="0" applyNumberFormat="1" applyFont="1" applyBorder="1" applyAlignment="1" applyProtection="1">
      <alignment vertical="center"/>
    </xf>
    <xf numFmtId="0" fontId="26" fillId="0" borderId="2" xfId="0" applyFont="1" applyBorder="1" applyAlignment="1" applyProtection="1">
      <alignment vertical="center"/>
    </xf>
    <xf numFmtId="0" fontId="26" fillId="0" borderId="2" xfId="0" applyFont="1" applyFill="1" applyBorder="1" applyAlignment="1" applyProtection="1">
      <alignment vertical="center"/>
    </xf>
    <xf numFmtId="0" fontId="26" fillId="0" borderId="0" xfId="0" applyFont="1" applyBorder="1" applyAlignment="1" applyProtection="1">
      <alignment vertical="center"/>
    </xf>
    <xf numFmtId="0" fontId="26" fillId="0" borderId="1" xfId="0" applyFont="1" applyBorder="1" applyAlignment="1" applyProtection="1">
      <alignment vertical="center"/>
    </xf>
    <xf numFmtId="0" fontId="27" fillId="0" borderId="2" xfId="0" applyFont="1" applyBorder="1" applyAlignment="1" applyProtection="1">
      <alignment vertical="center"/>
    </xf>
    <xf numFmtId="0" fontId="12" fillId="0" borderId="1" xfId="0" applyFont="1" applyFill="1" applyBorder="1" applyAlignment="1" applyProtection="1">
      <alignment vertical="center"/>
    </xf>
    <xf numFmtId="0" fontId="8" fillId="0" borderId="1" xfId="0" applyFont="1" applyFill="1" applyBorder="1" applyAlignment="1" applyProtection="1">
      <alignment vertical="center"/>
    </xf>
    <xf numFmtId="0" fontId="0" fillId="0" borderId="0" xfId="0" applyFill="1" applyBorder="1" applyAlignment="1" applyProtection="1">
      <alignment vertical="center"/>
    </xf>
    <xf numFmtId="0" fontId="8" fillId="0" borderId="0" xfId="0" applyFont="1" applyFill="1" applyBorder="1" applyAlignment="1" applyProtection="1">
      <alignment vertical="center"/>
    </xf>
    <xf numFmtId="0" fontId="12" fillId="0" borderId="2" xfId="0" applyFont="1" applyFill="1" applyBorder="1" applyAlignment="1" applyProtection="1">
      <alignment vertical="center"/>
    </xf>
    <xf numFmtId="0" fontId="8" fillId="0" borderId="2" xfId="0" applyFont="1" applyFill="1" applyBorder="1" applyAlignment="1" applyProtection="1">
      <alignment vertical="center"/>
    </xf>
    <xf numFmtId="0" fontId="8" fillId="2" borderId="0" xfId="0" applyFont="1" applyFill="1" applyBorder="1" applyAlignment="1" applyProtection="1">
      <alignment vertical="center"/>
    </xf>
    <xf numFmtId="0" fontId="8" fillId="3" borderId="1" xfId="0" applyFont="1" applyFill="1" applyBorder="1" applyAlignment="1" applyProtection="1">
      <alignment vertical="center"/>
    </xf>
    <xf numFmtId="0" fontId="0" fillId="0" borderId="0" xfId="0" applyBorder="1" applyAlignment="1" applyProtection="1">
      <alignment vertical="center"/>
    </xf>
    <xf numFmtId="1" fontId="8" fillId="0" borderId="0" xfId="0" applyNumberFormat="1" applyFont="1" applyFill="1" applyBorder="1" applyAlignment="1" applyProtection="1">
      <alignment horizontal="center" vertical="center"/>
    </xf>
    <xf numFmtId="165" fontId="8" fillId="0" borderId="0" xfId="0" applyNumberFormat="1" applyFont="1" applyFill="1" applyBorder="1" applyAlignment="1" applyProtection="1">
      <alignment horizontal="center" vertical="center"/>
    </xf>
    <xf numFmtId="0" fontId="8" fillId="0" borderId="1" xfId="0" applyFont="1" applyBorder="1" applyAlignment="1" applyProtection="1">
      <alignment vertical="center"/>
    </xf>
    <xf numFmtId="2" fontId="8" fillId="0" borderId="2" xfId="0" applyNumberFormat="1" applyFont="1" applyFill="1" applyBorder="1" applyAlignment="1" applyProtection="1">
      <alignment vertical="center"/>
    </xf>
    <xf numFmtId="0" fontId="8" fillId="0" borderId="2" xfId="0" applyFont="1" applyBorder="1" applyAlignment="1" applyProtection="1">
      <alignment vertical="center"/>
    </xf>
    <xf numFmtId="2" fontId="8"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165" fontId="8" fillId="0" borderId="0" xfId="0" applyNumberFormat="1" applyFont="1" applyBorder="1" applyAlignment="1" applyProtection="1">
      <alignment horizontal="center" vertical="center"/>
    </xf>
    <xf numFmtId="0" fontId="2" fillId="0" borderId="0" xfId="0" applyFont="1" applyFill="1" applyBorder="1" applyAlignment="1" applyProtection="1">
      <alignment vertical="center"/>
    </xf>
    <xf numFmtId="0" fontId="19" fillId="0" borderId="0" xfId="0" applyFont="1" applyBorder="1" applyAlignment="1" applyProtection="1">
      <alignment vertical="center"/>
    </xf>
    <xf numFmtId="2" fontId="0" fillId="0" borderId="0" xfId="0" applyNumberFormat="1" applyBorder="1" applyAlignment="1" applyProtection="1">
      <alignment horizontal="center" vertical="center"/>
    </xf>
    <xf numFmtId="0" fontId="19" fillId="0" borderId="1" xfId="0" applyFont="1" applyBorder="1" applyAlignment="1" applyProtection="1">
      <alignment vertical="center"/>
    </xf>
    <xf numFmtId="0" fontId="0" fillId="0" borderId="0" xfId="0" applyBorder="1" applyAlignment="1" applyProtection="1">
      <alignment horizontal="center" vertical="center"/>
    </xf>
    <xf numFmtId="0" fontId="1" fillId="0" borderId="0" xfId="0" applyFont="1" applyFill="1" applyBorder="1" applyAlignment="1" applyProtection="1">
      <alignment vertical="center"/>
    </xf>
    <xf numFmtId="0" fontId="3" fillId="0" borderId="0" xfId="0" applyFont="1" applyFill="1" applyBorder="1" applyAlignment="1" applyProtection="1">
      <alignment vertical="center"/>
    </xf>
    <xf numFmtId="164" fontId="4" fillId="0" borderId="0" xfId="0" applyNumberFormat="1" applyFont="1" applyFill="1" applyBorder="1" applyAlignment="1" applyProtection="1">
      <alignment vertical="center"/>
    </xf>
    <xf numFmtId="0" fontId="9" fillId="0" borderId="0" xfId="0" applyFont="1" applyBorder="1" applyAlignment="1" applyProtection="1">
      <alignment vertical="center"/>
    </xf>
    <xf numFmtId="2" fontId="0" fillId="0" borderId="0" xfId="0" applyNumberFormat="1" applyFill="1" applyBorder="1" applyAlignment="1" applyProtection="1">
      <alignment vertical="center"/>
    </xf>
    <xf numFmtId="165" fontId="0" fillId="0" borderId="0" xfId="0" applyNumberFormat="1" applyBorder="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vertical="center"/>
    </xf>
    <xf numFmtId="0" fontId="0" fillId="0" borderId="0" xfId="0" applyFill="1" applyAlignment="1" applyProtection="1">
      <alignment vertical="center"/>
    </xf>
    <xf numFmtId="2" fontId="8" fillId="2" borderId="0" xfId="0" applyNumberFormat="1" applyFont="1" applyFill="1" applyBorder="1" applyAlignment="1" applyProtection="1">
      <alignment horizontal="right" vertical="center"/>
      <protection locked="0"/>
    </xf>
    <xf numFmtId="0" fontId="0" fillId="0" borderId="0" xfId="0" applyAlignment="1" applyProtection="1">
      <alignment vertical="center"/>
    </xf>
    <xf numFmtId="2" fontId="8" fillId="0" borderId="0" xfId="0" applyNumberFormat="1" applyFont="1" applyBorder="1" applyAlignment="1" applyProtection="1">
      <alignment horizontal="right" vertical="center"/>
    </xf>
    <xf numFmtId="0" fontId="8" fillId="0" borderId="0" xfId="0" applyFont="1" applyAlignment="1" applyProtection="1">
      <alignment vertical="center"/>
    </xf>
    <xf numFmtId="1"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2" fontId="8" fillId="0" borderId="0" xfId="0" applyNumberFormat="1" applyFont="1" applyFill="1" applyBorder="1" applyAlignment="1" applyProtection="1">
      <alignment horizontal="right" vertical="center"/>
    </xf>
    <xf numFmtId="1" fontId="8" fillId="2" borderId="0" xfId="0" applyNumberFormat="1" applyFont="1" applyFill="1" applyBorder="1" applyAlignment="1" applyProtection="1">
      <alignment horizontal="right" vertical="center"/>
      <protection locked="0"/>
    </xf>
    <xf numFmtId="0" fontId="7" fillId="0" borderId="0" xfId="0" applyFont="1" applyBorder="1" applyAlignment="1" applyProtection="1">
      <alignment horizontal="center" vertical="center"/>
    </xf>
    <xf numFmtId="2" fontId="8" fillId="0" borderId="0" xfId="0" applyNumberFormat="1" applyFont="1" applyBorder="1" applyAlignment="1" applyProtection="1">
      <alignment horizontal="center" vertical="center"/>
    </xf>
    <xf numFmtId="2" fontId="0" fillId="0" borderId="0" xfId="0" applyNumberFormat="1" applyAlignment="1" applyProtection="1">
      <alignment horizontal="center" vertical="center"/>
    </xf>
    <xf numFmtId="0" fontId="6" fillId="0" borderId="0" xfId="0" applyFont="1" applyFill="1" applyBorder="1" applyAlignment="1" applyProtection="1">
      <alignment vertical="center"/>
    </xf>
    <xf numFmtId="0" fontId="9" fillId="0" borderId="0" xfId="0" applyFont="1" applyAlignment="1" applyProtection="1">
      <alignment vertical="center"/>
    </xf>
    <xf numFmtId="0" fontId="28" fillId="0" borderId="0" xfId="0" applyFont="1" applyBorder="1" applyAlignment="1" applyProtection="1">
      <alignment vertical="center"/>
    </xf>
    <xf numFmtId="2" fontId="29" fillId="0" borderId="0" xfId="0" applyNumberFormat="1" applyFont="1" applyFill="1" applyBorder="1" applyAlignment="1" applyProtection="1">
      <alignment horizontal="left" vertical="center"/>
    </xf>
    <xf numFmtId="2" fontId="29" fillId="0" borderId="0" xfId="0" applyNumberFormat="1" applyFont="1" applyFill="1" applyBorder="1" applyAlignment="1" applyProtection="1">
      <alignment horizontal="right" vertical="center"/>
    </xf>
    <xf numFmtId="2" fontId="0" fillId="0" borderId="0" xfId="0" applyNumberFormat="1" applyFill="1" applyAlignment="1" applyProtection="1">
      <alignment vertical="center"/>
    </xf>
    <xf numFmtId="2" fontId="29" fillId="0" borderId="0" xfId="0" applyNumberFormat="1" applyFont="1" applyFill="1" applyBorder="1" applyAlignment="1" applyProtection="1">
      <alignment vertical="center"/>
    </xf>
    <xf numFmtId="0" fontId="2" fillId="0" borderId="1" xfId="0" applyFont="1" applyFill="1" applyBorder="1" applyAlignment="1" applyProtection="1">
      <alignment vertical="center"/>
    </xf>
    <xf numFmtId="165" fontId="2" fillId="3" borderId="1" xfId="0" applyNumberFormat="1" applyFont="1" applyFill="1" applyBorder="1" applyAlignment="1" applyProtection="1">
      <alignment vertical="center"/>
    </xf>
    <xf numFmtId="0" fontId="8" fillId="0" borderId="1" xfId="0" applyFont="1" applyFill="1" applyBorder="1" applyAlignment="1" applyProtection="1">
      <alignment horizontal="right" vertical="center"/>
    </xf>
    <xf numFmtId="0" fontId="0" fillId="0" borderId="1" xfId="0" applyFill="1" applyBorder="1" applyAlignment="1" applyProtection="1">
      <alignment vertical="center"/>
    </xf>
    <xf numFmtId="0" fontId="8" fillId="0" borderId="2" xfId="0" applyFont="1" applyFill="1" applyBorder="1" applyAlignment="1" applyProtection="1">
      <alignment horizontal="right" vertical="center"/>
    </xf>
    <xf numFmtId="0" fontId="0" fillId="0" borderId="2" xfId="0" applyFill="1" applyBorder="1" applyAlignment="1" applyProtection="1">
      <alignment vertical="center"/>
    </xf>
    <xf numFmtId="2" fontId="8" fillId="0" borderId="2" xfId="0" applyNumberFormat="1" applyFont="1" applyFill="1" applyBorder="1" applyAlignment="1" applyProtection="1">
      <alignment horizontal="right" vertical="center"/>
    </xf>
    <xf numFmtId="0" fontId="13" fillId="0" borderId="0" xfId="0" applyFont="1" applyFill="1" applyBorder="1" applyAlignment="1" applyProtection="1">
      <alignment vertical="center"/>
    </xf>
    <xf numFmtId="2" fontId="8" fillId="0" borderId="1" xfId="0" applyNumberFormat="1" applyFont="1" applyFill="1" applyBorder="1" applyAlignment="1" applyProtection="1">
      <alignment horizontal="right" vertical="center"/>
    </xf>
    <xf numFmtId="2" fontId="8" fillId="0" borderId="2" xfId="0" applyNumberFormat="1" applyFont="1" applyBorder="1" applyAlignment="1" applyProtection="1">
      <alignment vertical="center"/>
    </xf>
    <xf numFmtId="2" fontId="26" fillId="0" borderId="2" xfId="0" applyNumberFormat="1" applyFont="1" applyBorder="1" applyAlignment="1" applyProtection="1">
      <alignment horizontal="center" vertical="center"/>
    </xf>
    <xf numFmtId="0" fontId="26" fillId="0" borderId="0" xfId="0" applyFont="1" applyBorder="1" applyAlignment="1" applyProtection="1">
      <alignment horizontal="right" vertical="center"/>
    </xf>
    <xf numFmtId="0" fontId="26" fillId="0" borderId="1" xfId="0" applyFont="1" applyBorder="1" applyAlignment="1" applyProtection="1">
      <alignment horizontal="right" vertical="center"/>
    </xf>
    <xf numFmtId="2" fontId="0" fillId="2" borderId="0" xfId="0" applyNumberFormat="1" applyFill="1" applyBorder="1" applyAlignment="1" applyProtection="1">
      <alignment vertical="center"/>
      <protection locked="0"/>
    </xf>
    <xf numFmtId="0" fontId="0" fillId="2" borderId="0" xfId="0" applyFill="1" applyBorder="1" applyAlignment="1" applyProtection="1">
      <alignment vertical="center"/>
      <protection locked="0"/>
    </xf>
    <xf numFmtId="164" fontId="8" fillId="2" borderId="0" xfId="0" applyNumberFormat="1" applyFont="1" applyFill="1" applyBorder="1" applyAlignment="1" applyProtection="1">
      <alignment vertical="center"/>
      <protection locked="0"/>
    </xf>
    <xf numFmtId="2" fontId="0" fillId="0" borderId="2" xfId="0" applyNumberFormat="1" applyFill="1" applyBorder="1" applyAlignment="1" applyProtection="1">
      <alignment vertical="center"/>
    </xf>
    <xf numFmtId="0" fontId="16" fillId="0" borderId="0" xfId="0" applyFont="1" applyFill="1" applyBorder="1" applyAlignment="1" applyProtection="1">
      <alignment vertical="center"/>
    </xf>
    <xf numFmtId="1" fontId="0" fillId="2" borderId="0" xfId="0" applyNumberFormat="1" applyFill="1" applyBorder="1" applyAlignment="1" applyProtection="1">
      <alignment vertical="center"/>
      <protection locked="0"/>
    </xf>
    <xf numFmtId="2" fontId="15" fillId="0" borderId="0" xfId="0" applyNumberFormat="1" applyFont="1" applyFill="1" applyBorder="1" applyAlignment="1" applyProtection="1">
      <alignment vertical="center"/>
    </xf>
    <xf numFmtId="1" fontId="2" fillId="3" borderId="0" xfId="0" applyNumberFormat="1" applyFont="1" applyFill="1" applyBorder="1" applyAlignment="1" applyProtection="1">
      <alignment vertical="center"/>
    </xf>
    <xf numFmtId="165" fontId="8" fillId="3" borderId="0" xfId="0" applyNumberFormat="1" applyFont="1" applyFill="1" applyBorder="1" applyAlignment="1" applyProtection="1">
      <alignment horizontal="right" vertical="center"/>
    </xf>
    <xf numFmtId="164" fontId="8" fillId="3" borderId="1" xfId="0" applyNumberFormat="1" applyFont="1" applyFill="1" applyBorder="1" applyAlignment="1" applyProtection="1">
      <alignment horizontal="right" vertical="center"/>
    </xf>
    <xf numFmtId="2" fontId="8" fillId="3" borderId="0" xfId="0" applyNumberFormat="1" applyFont="1" applyFill="1" applyBorder="1" applyAlignment="1" applyProtection="1">
      <alignment horizontal="right" vertical="center"/>
    </xf>
    <xf numFmtId="1" fontId="2" fillId="3" borderId="1" xfId="0" applyNumberFormat="1" applyFont="1" applyFill="1" applyBorder="1" applyAlignment="1" applyProtection="1">
      <alignment vertical="center"/>
    </xf>
    <xf numFmtId="0" fontId="8" fillId="3" borderId="0" xfId="0" applyFont="1" applyFill="1" applyBorder="1" applyAlignment="1" applyProtection="1">
      <alignment vertical="center"/>
    </xf>
    <xf numFmtId="167" fontId="8" fillId="0" borderId="0" xfId="0" applyNumberFormat="1" applyFont="1" applyBorder="1" applyAlignment="1" applyProtection="1">
      <alignment vertical="center"/>
    </xf>
    <xf numFmtId="166" fontId="0" fillId="0" borderId="0" xfId="0" applyNumberFormat="1" applyBorder="1" applyAlignment="1" applyProtection="1">
      <alignment vertical="center"/>
    </xf>
    <xf numFmtId="168" fontId="8" fillId="0" borderId="0" xfId="0" applyNumberFormat="1" applyFont="1" applyFill="1" applyBorder="1" applyAlignment="1" applyProtection="1">
      <alignment vertical="center"/>
    </xf>
    <xf numFmtId="169" fontId="0" fillId="0" borderId="0" xfId="0" applyNumberFormat="1" applyFill="1" applyBorder="1" applyAlignment="1" applyProtection="1">
      <alignment vertical="center"/>
    </xf>
    <xf numFmtId="169" fontId="8" fillId="0" borderId="0" xfId="0" applyNumberFormat="1" applyFont="1" applyFill="1" applyBorder="1" applyAlignment="1" applyProtection="1">
      <alignment vertical="center"/>
    </xf>
    <xf numFmtId="0" fontId="8" fillId="0" borderId="0" xfId="0" applyFont="1" applyBorder="1" applyAlignment="1" applyProtection="1">
      <alignment vertical="center" wrapText="1"/>
    </xf>
    <xf numFmtId="1" fontId="2" fillId="0" borderId="1" xfId="0" applyNumberFormat="1" applyFont="1" applyFill="1" applyBorder="1" applyAlignment="1" applyProtection="1">
      <alignment vertical="center"/>
    </xf>
    <xf numFmtId="2" fontId="2" fillId="0" borderId="1" xfId="0" applyNumberFormat="1" applyFont="1" applyFill="1" applyBorder="1" applyAlignment="1" applyProtection="1">
      <alignment vertical="center"/>
    </xf>
    <xf numFmtId="2" fontId="2" fillId="3" borderId="1" xfId="0" applyNumberFormat="1" applyFont="1" applyFill="1" applyBorder="1" applyAlignment="1" applyProtection="1">
      <alignment vertical="center"/>
    </xf>
    <xf numFmtId="0" fontId="0" fillId="0" borderId="0" xfId="0" applyAlignment="1">
      <alignment vertical="top"/>
    </xf>
    <xf numFmtId="0" fontId="8" fillId="0" borderId="3" xfId="0" applyFont="1" applyBorder="1" applyAlignment="1">
      <alignment vertical="top" wrapText="1"/>
    </xf>
    <xf numFmtId="0" fontId="2" fillId="3" borderId="5" xfId="0" applyFont="1" applyFill="1" applyBorder="1" applyAlignment="1">
      <alignment horizontal="center" vertical="center"/>
    </xf>
    <xf numFmtId="0" fontId="1" fillId="0" borderId="4" xfId="0" applyFont="1" applyBorder="1" applyAlignment="1">
      <alignmen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7</xdr:col>
      <xdr:colOff>251013</xdr:colOff>
      <xdr:row>6</xdr:row>
      <xdr:rowOff>240366</xdr:rowOff>
    </xdr:from>
    <xdr:to>
      <xdr:col>17</xdr:col>
      <xdr:colOff>487257</xdr:colOff>
      <xdr:row>23</xdr:row>
      <xdr:rowOff>10085</xdr:rowOff>
    </xdr:to>
    <xdr:grpSp>
      <xdr:nvGrpSpPr>
        <xdr:cNvPr id="43" name="Group 226"/>
        <xdr:cNvGrpSpPr>
          <a:grpSpLocks noChangeAspect="1"/>
        </xdr:cNvGrpSpPr>
      </xdr:nvGrpSpPr>
      <xdr:grpSpPr bwMode="auto">
        <a:xfrm>
          <a:off x="9314331" y="1871942"/>
          <a:ext cx="8125185" cy="4099672"/>
          <a:chOff x="1017" y="36"/>
          <a:chExt cx="824" cy="424"/>
        </a:xfrm>
        <a:solidFill>
          <a:schemeClr val="bg1"/>
        </a:solidFill>
      </xdr:grpSpPr>
      <xdr:sp macro="" textlink="">
        <xdr:nvSpPr>
          <xdr:cNvPr id="1639" name="AutoShape 225"/>
          <xdr:cNvSpPr>
            <a:spLocks noChangeAspect="1" noChangeArrowheads="1"/>
          </xdr:cNvSpPr>
        </xdr:nvSpPr>
        <xdr:spPr bwMode="auto">
          <a:xfrm>
            <a:off x="1047" y="36"/>
            <a:ext cx="648" cy="334"/>
          </a:xfrm>
          <a:prstGeom prst="rect">
            <a:avLst/>
          </a:prstGeom>
          <a:grpFill/>
          <a:ln w="9525">
            <a:noFill/>
            <a:miter lim="800000"/>
            <a:headEnd/>
            <a:tailEnd/>
          </a:ln>
        </xdr:spPr>
        <xdr:txBody>
          <a:bodyPr/>
          <a:lstStyle/>
          <a:p>
            <a:endParaRPr lang="de-AT"/>
          </a:p>
        </xdr:txBody>
      </xdr:sp>
      <xdr:sp macro="" textlink="">
        <xdr:nvSpPr>
          <xdr:cNvPr id="22" name="Rectangle 227"/>
          <xdr:cNvSpPr>
            <a:spLocks noChangeArrowheads="1"/>
          </xdr:cNvSpPr>
        </xdr:nvSpPr>
        <xdr:spPr bwMode="auto">
          <a:xfrm>
            <a:off x="1063" y="87"/>
            <a:ext cx="82" cy="19"/>
          </a:xfrm>
          <a:prstGeom prst="rect">
            <a:avLst/>
          </a:prstGeom>
          <a:grpFill/>
          <a:ln w="9525">
            <a:noFill/>
            <a:miter lim="800000"/>
            <a:headEnd/>
            <a:tailEnd/>
          </a:ln>
        </xdr:spPr>
        <xdr:txBody>
          <a:bodyPr wrap="none" lIns="0" tIns="0" rIns="0" bIns="0" anchor="t" upright="1">
            <a:spAutoFit/>
          </a:bodyPr>
          <a:lstStyle/>
          <a:p>
            <a:pPr algn="l" rtl="0">
              <a:defRPr sz="1000"/>
            </a:pPr>
            <a:r>
              <a:rPr lang="de-AT" sz="1200" b="0" i="0" u="none" strike="noStrike" baseline="0">
                <a:solidFill>
                  <a:srgbClr val="000000"/>
                </a:solidFill>
                <a:latin typeface="Arial"/>
                <a:cs typeface="Arial"/>
              </a:rPr>
              <a:t>Längsschnitt</a:t>
            </a:r>
          </a:p>
        </xdr:txBody>
      </xdr:sp>
      <xdr:sp macro="" textlink="">
        <xdr:nvSpPr>
          <xdr:cNvPr id="23" name="Rectangle 228"/>
          <xdr:cNvSpPr>
            <a:spLocks noChangeArrowheads="1"/>
          </xdr:cNvSpPr>
        </xdr:nvSpPr>
        <xdr:spPr bwMode="auto">
          <a:xfrm>
            <a:off x="1065" y="108"/>
            <a:ext cx="166" cy="18"/>
          </a:xfrm>
          <a:prstGeom prst="rect">
            <a:avLst/>
          </a:prstGeom>
          <a:grpFill/>
          <a:ln w="9525">
            <a:noFill/>
            <a:miter lim="800000"/>
            <a:headEnd/>
            <a:tailEnd/>
          </a:ln>
        </xdr:spPr>
        <xdr:txBody>
          <a:bodyPr wrap="none" lIns="0" tIns="0" rIns="0" bIns="0" anchor="t" upright="1">
            <a:spAutoFit/>
          </a:bodyPr>
          <a:lstStyle/>
          <a:p>
            <a:pPr algn="l" rtl="0">
              <a:defRPr sz="1000"/>
            </a:pPr>
            <a:r>
              <a:rPr lang="de-AT" sz="1100" b="0" i="0" u="none" strike="noStrike" baseline="0">
                <a:solidFill>
                  <a:srgbClr val="000000"/>
                </a:solidFill>
                <a:latin typeface="Arial"/>
                <a:cs typeface="Arial"/>
              </a:rPr>
              <a:t>Schlitzpass (Beckendetail)</a:t>
            </a:r>
          </a:p>
        </xdr:txBody>
      </xdr:sp>
      <xdr:pic>
        <xdr:nvPicPr>
          <xdr:cNvPr id="1642" name="Picture 229"/>
          <xdr:cNvPicPr>
            <a:picLocks noChangeAspect="1" noChangeArrowheads="1"/>
          </xdr:cNvPicPr>
        </xdr:nvPicPr>
        <xdr:blipFill>
          <a:blip xmlns:r="http://schemas.openxmlformats.org/officeDocument/2006/relationships" r:embed="rId1"/>
          <a:srcRect/>
          <a:stretch>
            <a:fillRect/>
          </a:stretch>
        </xdr:blipFill>
        <xdr:spPr bwMode="auto">
          <a:xfrm>
            <a:off x="1020" y="187"/>
            <a:ext cx="357" cy="232"/>
          </a:xfrm>
          <a:prstGeom prst="rect">
            <a:avLst/>
          </a:prstGeom>
          <a:grpFill/>
          <a:ln w="9525">
            <a:noFill/>
            <a:miter lim="800000"/>
            <a:headEnd/>
            <a:tailEnd/>
          </a:ln>
        </xdr:spPr>
      </xdr:pic>
      <xdr:sp macro="" textlink="">
        <xdr:nvSpPr>
          <xdr:cNvPr id="25" name="Rectangle 230"/>
          <xdr:cNvSpPr>
            <a:spLocks noChangeArrowheads="1"/>
          </xdr:cNvSpPr>
        </xdr:nvSpPr>
        <xdr:spPr bwMode="auto">
          <a:xfrm>
            <a:off x="1053" y="43"/>
            <a:ext cx="106" cy="24"/>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Schlitzpass (</a:t>
            </a:r>
          </a:p>
        </xdr:txBody>
      </xdr:sp>
      <xdr:sp macro="" textlink="">
        <xdr:nvSpPr>
          <xdr:cNvPr id="26" name="Rectangle 231"/>
          <xdr:cNvSpPr>
            <a:spLocks noChangeArrowheads="1"/>
          </xdr:cNvSpPr>
        </xdr:nvSpPr>
        <xdr:spPr bwMode="auto">
          <a:xfrm>
            <a:off x="1143" y="43"/>
            <a:ext cx="60" cy="24"/>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vertical</a:t>
            </a:r>
          </a:p>
        </xdr:txBody>
      </xdr:sp>
      <xdr:sp macro="" textlink="">
        <xdr:nvSpPr>
          <xdr:cNvPr id="27" name="Rectangle 232"/>
          <xdr:cNvSpPr>
            <a:spLocks noChangeArrowheads="1"/>
          </xdr:cNvSpPr>
        </xdr:nvSpPr>
        <xdr:spPr bwMode="auto">
          <a:xfrm>
            <a:off x="1197" y="43"/>
            <a:ext cx="31" cy="24"/>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slot</a:t>
            </a:r>
          </a:p>
        </xdr:txBody>
      </xdr:sp>
      <xdr:sp macro="" textlink="">
        <xdr:nvSpPr>
          <xdr:cNvPr id="28" name="Rectangle 233"/>
          <xdr:cNvSpPr>
            <a:spLocks noChangeArrowheads="1"/>
          </xdr:cNvSpPr>
        </xdr:nvSpPr>
        <xdr:spPr bwMode="auto">
          <a:xfrm>
            <a:off x="1219" y="43"/>
            <a:ext cx="9" cy="24"/>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a:t>
            </a:r>
          </a:p>
        </xdr:txBody>
      </xdr:sp>
      <xdr:sp macro="" textlink="">
        <xdr:nvSpPr>
          <xdr:cNvPr id="29" name="Rectangle 234"/>
          <xdr:cNvSpPr>
            <a:spLocks noChangeArrowheads="1"/>
          </xdr:cNvSpPr>
        </xdr:nvSpPr>
        <xdr:spPr bwMode="auto">
          <a:xfrm>
            <a:off x="1225" y="43"/>
            <a:ext cx="9" cy="24"/>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a:t>
            </a:r>
          </a:p>
        </xdr:txBody>
      </xdr:sp>
      <xdr:sp macro="" textlink="">
        <xdr:nvSpPr>
          <xdr:cNvPr id="1648" name="Rectangle 235"/>
          <xdr:cNvSpPr>
            <a:spLocks noChangeArrowheads="1"/>
          </xdr:cNvSpPr>
        </xdr:nvSpPr>
        <xdr:spPr bwMode="auto">
          <a:xfrm>
            <a:off x="1056" y="59"/>
            <a:ext cx="174" cy="1"/>
          </a:xfrm>
          <a:prstGeom prst="rect">
            <a:avLst/>
          </a:prstGeom>
          <a:grpFill/>
          <a:ln w="9525">
            <a:noFill/>
            <a:miter lim="800000"/>
            <a:headEnd/>
            <a:tailEnd/>
          </a:ln>
        </xdr:spPr>
        <xdr:txBody>
          <a:bodyPr/>
          <a:lstStyle/>
          <a:p>
            <a:endParaRPr lang="de-AT"/>
          </a:p>
        </xdr:txBody>
      </xdr:sp>
      <xdr:pic>
        <xdr:nvPicPr>
          <xdr:cNvPr id="1649" name="Picture 236"/>
          <xdr:cNvPicPr>
            <a:picLocks noChangeAspect="1" noChangeArrowheads="1"/>
          </xdr:cNvPicPr>
        </xdr:nvPicPr>
        <xdr:blipFill>
          <a:blip xmlns:r="http://schemas.openxmlformats.org/officeDocument/2006/relationships" r:embed="rId2"/>
          <a:srcRect/>
          <a:stretch>
            <a:fillRect/>
          </a:stretch>
        </xdr:blipFill>
        <xdr:spPr bwMode="auto">
          <a:xfrm>
            <a:off x="1375" y="167"/>
            <a:ext cx="380" cy="293"/>
          </a:xfrm>
          <a:prstGeom prst="rect">
            <a:avLst/>
          </a:prstGeom>
          <a:grpFill/>
          <a:ln w="9525">
            <a:noFill/>
            <a:miter lim="800000"/>
            <a:headEnd/>
            <a:tailEnd/>
          </a:ln>
        </xdr:spPr>
      </xdr:pic>
      <xdr:sp macro="" textlink="">
        <xdr:nvSpPr>
          <xdr:cNvPr id="32" name="Rectangle 237"/>
          <xdr:cNvSpPr>
            <a:spLocks noChangeArrowheads="1"/>
          </xdr:cNvSpPr>
        </xdr:nvSpPr>
        <xdr:spPr bwMode="auto">
          <a:xfrm>
            <a:off x="1362" y="88"/>
            <a:ext cx="63" cy="18"/>
          </a:xfrm>
          <a:prstGeom prst="rect">
            <a:avLst/>
          </a:prstGeom>
          <a:grpFill/>
          <a:ln w="9525">
            <a:noFill/>
            <a:miter lim="800000"/>
            <a:headEnd/>
            <a:tailEnd/>
          </a:ln>
        </xdr:spPr>
        <xdr:txBody>
          <a:bodyPr wrap="none" lIns="0" tIns="0" rIns="0" bIns="0" anchor="t" upright="1">
            <a:spAutoFit/>
          </a:bodyPr>
          <a:lstStyle/>
          <a:p>
            <a:pPr algn="l" rtl="0">
              <a:defRPr sz="1000"/>
            </a:pPr>
            <a:r>
              <a:rPr lang="de-AT" sz="1100" b="0" i="0" u="none" strike="noStrike" baseline="0">
                <a:solidFill>
                  <a:srgbClr val="000000"/>
                </a:solidFill>
                <a:latin typeface="Arial"/>
                <a:cs typeface="Arial"/>
              </a:rPr>
              <a:t>Draufsicht</a:t>
            </a:r>
          </a:p>
        </xdr:txBody>
      </xdr:sp>
      <xdr:sp macro="" textlink="">
        <xdr:nvSpPr>
          <xdr:cNvPr id="33" name="Rectangle 238"/>
          <xdr:cNvSpPr>
            <a:spLocks noChangeArrowheads="1"/>
          </xdr:cNvSpPr>
        </xdr:nvSpPr>
        <xdr:spPr bwMode="auto">
          <a:xfrm>
            <a:off x="1362" y="109"/>
            <a:ext cx="166" cy="18"/>
          </a:xfrm>
          <a:prstGeom prst="rect">
            <a:avLst/>
          </a:prstGeom>
          <a:grpFill/>
          <a:ln w="9525">
            <a:noFill/>
            <a:miter lim="800000"/>
            <a:headEnd/>
            <a:tailEnd/>
          </a:ln>
        </xdr:spPr>
        <xdr:txBody>
          <a:bodyPr wrap="none" lIns="0" tIns="0" rIns="0" bIns="0" anchor="t" upright="1">
            <a:spAutoFit/>
          </a:bodyPr>
          <a:lstStyle/>
          <a:p>
            <a:pPr algn="l" rtl="0">
              <a:defRPr sz="1000"/>
            </a:pPr>
            <a:r>
              <a:rPr lang="de-AT" sz="1100" b="0" i="0" u="none" strike="noStrike" baseline="0">
                <a:solidFill>
                  <a:srgbClr val="000000"/>
                </a:solidFill>
                <a:latin typeface="Arial"/>
                <a:cs typeface="Arial"/>
              </a:rPr>
              <a:t>Schlitzpass (Beckendetail)</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276225</xdr:rowOff>
    </xdr:from>
    <xdr:to>
      <xdr:col>19</xdr:col>
      <xdr:colOff>236215</xdr:colOff>
      <xdr:row>17</xdr:row>
      <xdr:rowOff>38616</xdr:rowOff>
    </xdr:to>
    <xdr:grpSp>
      <xdr:nvGrpSpPr>
        <xdr:cNvPr id="34" name="Group 226"/>
        <xdr:cNvGrpSpPr>
          <a:grpSpLocks noChangeAspect="1"/>
        </xdr:cNvGrpSpPr>
      </xdr:nvGrpSpPr>
      <xdr:grpSpPr bwMode="auto">
        <a:xfrm>
          <a:off x="9879106" y="276225"/>
          <a:ext cx="8125156" cy="4155097"/>
          <a:chOff x="1017" y="36"/>
          <a:chExt cx="824" cy="424"/>
        </a:xfrm>
        <a:solidFill>
          <a:schemeClr val="bg1"/>
        </a:solidFill>
      </xdr:grpSpPr>
      <xdr:sp macro="" textlink="">
        <xdr:nvSpPr>
          <xdr:cNvPr id="20604" name="AutoShape 225"/>
          <xdr:cNvSpPr>
            <a:spLocks noChangeAspect="1" noChangeArrowheads="1"/>
          </xdr:cNvSpPr>
        </xdr:nvSpPr>
        <xdr:spPr bwMode="auto">
          <a:xfrm>
            <a:off x="1044" y="36"/>
            <a:ext cx="648" cy="329"/>
          </a:xfrm>
          <a:prstGeom prst="rect">
            <a:avLst/>
          </a:prstGeom>
          <a:grpFill/>
          <a:ln w="9525">
            <a:noFill/>
            <a:miter lim="800000"/>
            <a:headEnd/>
            <a:tailEnd/>
          </a:ln>
        </xdr:spPr>
        <xdr:txBody>
          <a:bodyPr/>
          <a:lstStyle/>
          <a:p>
            <a:endParaRPr lang="de-AT"/>
          </a:p>
        </xdr:txBody>
      </xdr:sp>
      <xdr:sp macro="" textlink="">
        <xdr:nvSpPr>
          <xdr:cNvPr id="4" name="Rectangle 227"/>
          <xdr:cNvSpPr>
            <a:spLocks noChangeArrowheads="1"/>
          </xdr:cNvSpPr>
        </xdr:nvSpPr>
        <xdr:spPr bwMode="auto">
          <a:xfrm>
            <a:off x="1061" y="86"/>
            <a:ext cx="83" cy="19"/>
          </a:xfrm>
          <a:prstGeom prst="rect">
            <a:avLst/>
          </a:prstGeom>
          <a:grpFill/>
          <a:ln w="9525">
            <a:noFill/>
            <a:miter lim="800000"/>
            <a:headEnd/>
            <a:tailEnd/>
          </a:ln>
        </xdr:spPr>
        <xdr:txBody>
          <a:bodyPr wrap="none" lIns="0" tIns="0" rIns="0" bIns="0" anchor="t" upright="1">
            <a:spAutoFit/>
          </a:bodyPr>
          <a:lstStyle/>
          <a:p>
            <a:pPr algn="l" rtl="0">
              <a:defRPr sz="1000"/>
            </a:pPr>
            <a:r>
              <a:rPr lang="de-AT" sz="1200" b="0" i="0" u="none" strike="noStrike" baseline="0">
                <a:solidFill>
                  <a:srgbClr val="000000"/>
                </a:solidFill>
                <a:latin typeface="Arial"/>
                <a:cs typeface="Arial"/>
              </a:rPr>
              <a:t>Längsschnitt</a:t>
            </a:r>
          </a:p>
        </xdr:txBody>
      </xdr:sp>
      <xdr:sp macro="" textlink="">
        <xdr:nvSpPr>
          <xdr:cNvPr id="5" name="Rectangle 228"/>
          <xdr:cNvSpPr>
            <a:spLocks noChangeArrowheads="1"/>
          </xdr:cNvSpPr>
        </xdr:nvSpPr>
        <xdr:spPr bwMode="auto">
          <a:xfrm>
            <a:off x="1061" y="106"/>
            <a:ext cx="166" cy="18"/>
          </a:xfrm>
          <a:prstGeom prst="rect">
            <a:avLst/>
          </a:prstGeom>
          <a:grpFill/>
          <a:ln w="9525">
            <a:noFill/>
            <a:miter lim="800000"/>
            <a:headEnd/>
            <a:tailEnd/>
          </a:ln>
        </xdr:spPr>
        <xdr:txBody>
          <a:bodyPr wrap="none" lIns="0" tIns="0" rIns="0" bIns="0" anchor="t" upright="1">
            <a:spAutoFit/>
          </a:bodyPr>
          <a:lstStyle/>
          <a:p>
            <a:pPr algn="l" rtl="0">
              <a:defRPr sz="1000"/>
            </a:pPr>
            <a:r>
              <a:rPr lang="de-AT" sz="1100" b="0" i="0" u="none" strike="noStrike" baseline="0">
                <a:solidFill>
                  <a:srgbClr val="000000"/>
                </a:solidFill>
                <a:latin typeface="Arial"/>
                <a:cs typeface="Arial"/>
              </a:rPr>
              <a:t>Schlitzpass (Beckendetail)</a:t>
            </a:r>
          </a:p>
        </xdr:txBody>
      </xdr:sp>
      <xdr:pic>
        <xdr:nvPicPr>
          <xdr:cNvPr id="20607" name="Picture 229"/>
          <xdr:cNvPicPr>
            <a:picLocks noChangeAspect="1" noChangeArrowheads="1"/>
          </xdr:cNvPicPr>
        </xdr:nvPicPr>
        <xdr:blipFill>
          <a:blip xmlns:r="http://schemas.openxmlformats.org/officeDocument/2006/relationships" r:embed="rId1"/>
          <a:srcRect/>
          <a:stretch>
            <a:fillRect/>
          </a:stretch>
        </xdr:blipFill>
        <xdr:spPr bwMode="auto">
          <a:xfrm>
            <a:off x="1020" y="187"/>
            <a:ext cx="357" cy="232"/>
          </a:xfrm>
          <a:prstGeom prst="rect">
            <a:avLst/>
          </a:prstGeom>
          <a:grpFill/>
          <a:ln w="9525">
            <a:noFill/>
            <a:miter lim="800000"/>
            <a:headEnd/>
            <a:tailEnd/>
          </a:ln>
        </xdr:spPr>
      </xdr:pic>
      <xdr:sp macro="" textlink="">
        <xdr:nvSpPr>
          <xdr:cNvPr id="7" name="Rectangle 230"/>
          <xdr:cNvSpPr>
            <a:spLocks noChangeArrowheads="1"/>
          </xdr:cNvSpPr>
        </xdr:nvSpPr>
        <xdr:spPr bwMode="auto">
          <a:xfrm>
            <a:off x="1051" y="44"/>
            <a:ext cx="106" cy="23"/>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Schlitzpass (</a:t>
            </a:r>
          </a:p>
        </xdr:txBody>
      </xdr:sp>
      <xdr:sp macro="" textlink="">
        <xdr:nvSpPr>
          <xdr:cNvPr id="8" name="Rectangle 231"/>
          <xdr:cNvSpPr>
            <a:spLocks noChangeArrowheads="1"/>
          </xdr:cNvSpPr>
        </xdr:nvSpPr>
        <xdr:spPr bwMode="auto">
          <a:xfrm>
            <a:off x="1141" y="44"/>
            <a:ext cx="60" cy="23"/>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vertical</a:t>
            </a:r>
          </a:p>
        </xdr:txBody>
      </xdr:sp>
      <xdr:sp macro="" textlink="">
        <xdr:nvSpPr>
          <xdr:cNvPr id="9" name="Rectangle 232"/>
          <xdr:cNvSpPr>
            <a:spLocks noChangeArrowheads="1"/>
          </xdr:cNvSpPr>
        </xdr:nvSpPr>
        <xdr:spPr bwMode="auto">
          <a:xfrm>
            <a:off x="1194" y="44"/>
            <a:ext cx="31" cy="23"/>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slot</a:t>
            </a:r>
          </a:p>
        </xdr:txBody>
      </xdr:sp>
      <xdr:sp macro="" textlink="">
        <xdr:nvSpPr>
          <xdr:cNvPr id="10" name="Rectangle 233"/>
          <xdr:cNvSpPr>
            <a:spLocks noChangeArrowheads="1"/>
          </xdr:cNvSpPr>
        </xdr:nvSpPr>
        <xdr:spPr bwMode="auto">
          <a:xfrm>
            <a:off x="1218" y="44"/>
            <a:ext cx="9" cy="23"/>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a:t>
            </a:r>
          </a:p>
        </xdr:txBody>
      </xdr:sp>
      <xdr:sp macro="" textlink="">
        <xdr:nvSpPr>
          <xdr:cNvPr id="11" name="Rectangle 234"/>
          <xdr:cNvSpPr>
            <a:spLocks noChangeArrowheads="1"/>
          </xdr:cNvSpPr>
        </xdr:nvSpPr>
        <xdr:spPr bwMode="auto">
          <a:xfrm>
            <a:off x="1223" y="44"/>
            <a:ext cx="9" cy="23"/>
          </a:xfrm>
          <a:prstGeom prst="rect">
            <a:avLst/>
          </a:prstGeom>
          <a:grpFill/>
          <a:ln w="9525">
            <a:noFill/>
            <a:miter lim="800000"/>
            <a:headEnd/>
            <a:tailEnd/>
          </a:ln>
        </xdr:spPr>
        <xdr:txBody>
          <a:bodyPr wrap="none" lIns="0" tIns="0" rIns="0" bIns="0" anchor="t" upright="1">
            <a:spAutoFit/>
          </a:bodyPr>
          <a:lstStyle/>
          <a:p>
            <a:pPr algn="l" rtl="0">
              <a:defRPr sz="1000"/>
            </a:pPr>
            <a:r>
              <a:rPr lang="de-AT" sz="1400" b="0" i="1" u="none" strike="noStrike" baseline="0">
                <a:solidFill>
                  <a:srgbClr val="000000"/>
                </a:solidFill>
                <a:latin typeface="Arial"/>
                <a:cs typeface="Arial"/>
              </a:rPr>
              <a:t>:</a:t>
            </a:r>
          </a:p>
        </xdr:txBody>
      </xdr:sp>
      <xdr:sp macro="" textlink="">
        <xdr:nvSpPr>
          <xdr:cNvPr id="20613" name="Rectangle 235"/>
          <xdr:cNvSpPr>
            <a:spLocks noChangeArrowheads="1"/>
          </xdr:cNvSpPr>
        </xdr:nvSpPr>
        <xdr:spPr bwMode="auto">
          <a:xfrm>
            <a:off x="1053" y="58"/>
            <a:ext cx="174" cy="1"/>
          </a:xfrm>
          <a:prstGeom prst="rect">
            <a:avLst/>
          </a:prstGeom>
          <a:grpFill/>
          <a:ln w="9525">
            <a:noFill/>
            <a:miter lim="800000"/>
            <a:headEnd/>
            <a:tailEnd/>
          </a:ln>
        </xdr:spPr>
        <xdr:txBody>
          <a:bodyPr/>
          <a:lstStyle/>
          <a:p>
            <a:endParaRPr lang="de-AT"/>
          </a:p>
        </xdr:txBody>
      </xdr:sp>
      <xdr:pic>
        <xdr:nvPicPr>
          <xdr:cNvPr id="20614" name="Picture 236"/>
          <xdr:cNvPicPr>
            <a:picLocks noChangeAspect="1" noChangeArrowheads="1"/>
          </xdr:cNvPicPr>
        </xdr:nvPicPr>
        <xdr:blipFill>
          <a:blip xmlns:r="http://schemas.openxmlformats.org/officeDocument/2006/relationships" r:embed="rId2"/>
          <a:srcRect/>
          <a:stretch>
            <a:fillRect/>
          </a:stretch>
        </xdr:blipFill>
        <xdr:spPr bwMode="auto">
          <a:xfrm>
            <a:off x="1375" y="167"/>
            <a:ext cx="380" cy="293"/>
          </a:xfrm>
          <a:prstGeom prst="rect">
            <a:avLst/>
          </a:prstGeom>
          <a:grpFill/>
          <a:ln w="9525">
            <a:noFill/>
            <a:miter lim="800000"/>
            <a:headEnd/>
            <a:tailEnd/>
          </a:ln>
        </xdr:spPr>
      </xdr:pic>
      <xdr:sp macro="" textlink="">
        <xdr:nvSpPr>
          <xdr:cNvPr id="14" name="Rectangle 237"/>
          <xdr:cNvSpPr>
            <a:spLocks noChangeArrowheads="1"/>
          </xdr:cNvSpPr>
        </xdr:nvSpPr>
        <xdr:spPr bwMode="auto">
          <a:xfrm>
            <a:off x="1360" y="88"/>
            <a:ext cx="63" cy="19"/>
          </a:xfrm>
          <a:prstGeom prst="rect">
            <a:avLst/>
          </a:prstGeom>
          <a:grpFill/>
          <a:ln w="9525">
            <a:noFill/>
            <a:miter lim="800000"/>
            <a:headEnd/>
            <a:tailEnd/>
          </a:ln>
        </xdr:spPr>
        <xdr:txBody>
          <a:bodyPr wrap="none" lIns="0" tIns="0" rIns="0" bIns="0" anchor="t" upright="1">
            <a:spAutoFit/>
          </a:bodyPr>
          <a:lstStyle/>
          <a:p>
            <a:pPr algn="l" rtl="0">
              <a:defRPr sz="1000"/>
            </a:pPr>
            <a:r>
              <a:rPr lang="de-AT" sz="1100" b="0" i="0" u="none" strike="noStrike" baseline="0">
                <a:solidFill>
                  <a:srgbClr val="000000"/>
                </a:solidFill>
                <a:latin typeface="Arial"/>
                <a:cs typeface="Arial"/>
              </a:rPr>
              <a:t>Draufsicht</a:t>
            </a:r>
          </a:p>
        </xdr:txBody>
      </xdr:sp>
      <xdr:sp macro="" textlink="">
        <xdr:nvSpPr>
          <xdr:cNvPr id="15" name="Rectangle 238"/>
          <xdr:cNvSpPr>
            <a:spLocks noChangeArrowheads="1"/>
          </xdr:cNvSpPr>
        </xdr:nvSpPr>
        <xdr:spPr bwMode="auto">
          <a:xfrm>
            <a:off x="1360" y="107"/>
            <a:ext cx="166" cy="19"/>
          </a:xfrm>
          <a:prstGeom prst="rect">
            <a:avLst/>
          </a:prstGeom>
          <a:grpFill/>
          <a:ln w="9525">
            <a:noFill/>
            <a:miter lim="800000"/>
            <a:headEnd/>
            <a:tailEnd/>
          </a:ln>
        </xdr:spPr>
        <xdr:txBody>
          <a:bodyPr wrap="none" lIns="0" tIns="0" rIns="0" bIns="0" anchor="t" upright="1">
            <a:spAutoFit/>
          </a:bodyPr>
          <a:lstStyle/>
          <a:p>
            <a:pPr algn="l" rtl="0">
              <a:defRPr sz="1000"/>
            </a:pPr>
            <a:r>
              <a:rPr lang="de-AT" sz="1100" b="0" i="0" u="none" strike="noStrike" baseline="0">
                <a:solidFill>
                  <a:srgbClr val="000000"/>
                </a:solidFill>
                <a:latin typeface="Arial"/>
                <a:cs typeface="Arial"/>
              </a:rPr>
              <a:t>Schlitzpass (Beckendetail)</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7620</xdr:colOff>
      <xdr:row>29</xdr:row>
      <xdr:rowOff>7620</xdr:rowOff>
    </xdr:from>
    <xdr:to>
      <xdr:col>14</xdr:col>
      <xdr:colOff>739140</xdr:colOff>
      <xdr:row>42</xdr:row>
      <xdr:rowOff>0</xdr:rowOff>
    </xdr:to>
    <xdr:pic>
      <xdr:nvPicPr>
        <xdr:cNvPr id="22684"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55480" y="7482840"/>
          <a:ext cx="3870960" cy="344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10</xdr:col>
      <xdr:colOff>7620</xdr:colOff>
      <xdr:row>7</xdr:row>
      <xdr:rowOff>144780</xdr:rowOff>
    </xdr:from>
    <xdr:to>
      <xdr:col>18</xdr:col>
      <xdr:colOff>22860</xdr:colOff>
      <xdr:row>16</xdr:row>
      <xdr:rowOff>99060</xdr:rowOff>
    </xdr:to>
    <xdr:pic>
      <xdr:nvPicPr>
        <xdr:cNvPr id="22685" name="Picture 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55480" y="2026920"/>
          <a:ext cx="6294120" cy="2278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10</xdr:col>
      <xdr:colOff>22860</xdr:colOff>
      <xdr:row>17</xdr:row>
      <xdr:rowOff>99060</xdr:rowOff>
    </xdr:from>
    <xdr:to>
      <xdr:col>18</xdr:col>
      <xdr:colOff>114300</xdr:colOff>
      <xdr:row>28</xdr:row>
      <xdr:rowOff>99060</xdr:rowOff>
    </xdr:to>
    <xdr:pic>
      <xdr:nvPicPr>
        <xdr:cNvPr id="22686" name="Picture 6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0720" y="4556760"/>
          <a:ext cx="6370320" cy="2766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546847</xdr:colOff>
      <xdr:row>26</xdr:row>
      <xdr:rowOff>85164</xdr:rowOff>
    </xdr:from>
    <xdr:to>
      <xdr:col>14</xdr:col>
      <xdr:colOff>481853</xdr:colOff>
      <xdr:row>39</xdr:row>
      <xdr:rowOff>54685</xdr:rowOff>
    </xdr:to>
    <xdr:pic>
      <xdr:nvPicPr>
        <xdr:cNvPr id="21660"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0518" y="6799729"/>
          <a:ext cx="3879476" cy="342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9</xdr:col>
      <xdr:colOff>340659</xdr:colOff>
      <xdr:row>4</xdr:row>
      <xdr:rowOff>295835</xdr:rowOff>
    </xdr:from>
    <xdr:to>
      <xdr:col>17</xdr:col>
      <xdr:colOff>348279</xdr:colOff>
      <xdr:row>13</xdr:row>
      <xdr:rowOff>235323</xdr:rowOff>
    </xdr:to>
    <xdr:pic>
      <xdr:nvPicPr>
        <xdr:cNvPr id="21661" name="Picture 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4330" y="1362635"/>
          <a:ext cx="6318773" cy="2261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9</xdr:col>
      <xdr:colOff>249667</xdr:colOff>
      <xdr:row>14</xdr:row>
      <xdr:rowOff>75303</xdr:rowOff>
    </xdr:from>
    <xdr:to>
      <xdr:col>17</xdr:col>
      <xdr:colOff>348727</xdr:colOff>
      <xdr:row>25</xdr:row>
      <xdr:rowOff>52443</xdr:rowOff>
    </xdr:to>
    <xdr:pic>
      <xdr:nvPicPr>
        <xdr:cNvPr id="21662" name="Picture 6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23338" y="3777727"/>
          <a:ext cx="6410213" cy="2738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297180</xdr:colOff>
      <xdr:row>22</xdr:row>
      <xdr:rowOff>30480</xdr:rowOff>
    </xdr:from>
    <xdr:to>
      <xdr:col>18</xdr:col>
      <xdr:colOff>419100</xdr:colOff>
      <xdr:row>32</xdr:row>
      <xdr:rowOff>15240</xdr:rowOff>
    </xdr:to>
    <xdr:pic>
      <xdr:nvPicPr>
        <xdr:cNvPr id="23606"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34"/>
        <a:stretch>
          <a:fillRect/>
        </a:stretch>
      </xdr:blipFill>
      <xdr:spPr bwMode="auto">
        <a:xfrm>
          <a:off x="10172700" y="5684520"/>
          <a:ext cx="6400800" cy="2560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election activeCell="A5" sqref="A5"/>
    </sheetView>
  </sheetViews>
  <sheetFormatPr baseColWidth="10" defaultRowHeight="13.2" x14ac:dyDescent="0.25"/>
  <cols>
    <col min="1" max="1" width="94.44140625" customWidth="1"/>
  </cols>
  <sheetData>
    <row r="1" spans="1:1" ht="22.2" customHeight="1" thickBot="1" x14ac:dyDescent="0.3">
      <c r="A1" s="113" t="s">
        <v>135</v>
      </c>
    </row>
    <row r="2" spans="1:1" s="111" customFormat="1" ht="37.799999999999997" customHeight="1" x14ac:dyDescent="0.25">
      <c r="A2" s="112" t="s">
        <v>139</v>
      </c>
    </row>
    <row r="3" spans="1:1" s="111" customFormat="1" ht="51" customHeight="1" x14ac:dyDescent="0.25">
      <c r="A3" s="112" t="s">
        <v>140</v>
      </c>
    </row>
    <row r="4" spans="1:1" s="111" customFormat="1" ht="37.799999999999997" customHeight="1" x14ac:dyDescent="0.25">
      <c r="A4" s="112" t="s">
        <v>141</v>
      </c>
    </row>
    <row r="5" spans="1:1" s="111" customFormat="1" ht="37.799999999999997" customHeight="1" thickBot="1" x14ac:dyDescent="0.3">
      <c r="A5" s="114" t="s">
        <v>142</v>
      </c>
    </row>
    <row r="7" spans="1:1" x14ac:dyDescent="0.25">
      <c r="A7" t="s">
        <v>136</v>
      </c>
    </row>
  </sheetData>
  <sheetProtection password="DDF1" sheet="1" objects="1" scenarios="1"/>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0"/>
  <sheetViews>
    <sheetView zoomScale="85" zoomScaleNormal="85" workbookViewId="0">
      <selection activeCell="B6" sqref="B6"/>
    </sheetView>
  </sheetViews>
  <sheetFormatPr baseColWidth="10" defaultColWidth="11.44140625" defaultRowHeight="15" customHeight="1" x14ac:dyDescent="0.25"/>
  <cols>
    <col min="1" max="1" width="44.6640625" style="34" bestFit="1" customWidth="1"/>
    <col min="2" max="3" width="8.6640625" style="34" customWidth="1"/>
    <col min="4" max="4" width="11.44140625" style="34"/>
    <col min="5" max="5" width="24.109375" style="34" bestFit="1" customWidth="1"/>
    <col min="6" max="6" width="11.44140625" style="34"/>
    <col min="7" max="7" width="23.109375" style="34" bestFit="1" customWidth="1"/>
    <col min="8" max="16384" width="11.44140625" style="34"/>
  </cols>
  <sheetData>
    <row r="1" spans="1:10" s="28" customFormat="1" ht="24.9" customHeight="1" x14ac:dyDescent="0.25">
      <c r="A1" s="26" t="s">
        <v>97</v>
      </c>
      <c r="B1" s="27"/>
      <c r="C1" s="27"/>
      <c r="D1" s="27"/>
      <c r="E1" s="27"/>
      <c r="F1" s="27"/>
      <c r="G1" s="27"/>
      <c r="I1" s="29"/>
      <c r="J1" s="29"/>
    </row>
    <row r="2" spans="1:10" s="28" customFormat="1" ht="20.100000000000001" customHeight="1" x14ac:dyDescent="0.25">
      <c r="A2" s="30" t="s">
        <v>43</v>
      </c>
      <c r="B2" s="31"/>
      <c r="C2" s="31"/>
      <c r="D2" s="31"/>
      <c r="E2" s="31"/>
      <c r="F2" s="31"/>
      <c r="G2" s="31"/>
      <c r="H2" s="29"/>
      <c r="I2" s="29"/>
      <c r="J2" s="29"/>
    </row>
    <row r="3" spans="1:10" s="28" customFormat="1" ht="20.100000000000001" customHeight="1" x14ac:dyDescent="0.25">
      <c r="A3" s="29" t="s">
        <v>87</v>
      </c>
      <c r="B3" s="32"/>
      <c r="C3" s="29"/>
      <c r="D3" s="29" t="s">
        <v>127</v>
      </c>
      <c r="E3" s="29"/>
      <c r="F3" s="29"/>
      <c r="G3" s="29"/>
      <c r="H3" s="29"/>
      <c r="I3" s="29"/>
      <c r="J3" s="29"/>
    </row>
    <row r="4" spans="1:10" s="28" customFormat="1" ht="20.100000000000001" customHeight="1" x14ac:dyDescent="0.25">
      <c r="A4" s="27" t="s">
        <v>95</v>
      </c>
      <c r="B4" s="33"/>
      <c r="C4" s="27"/>
      <c r="D4" s="27"/>
      <c r="E4" s="27"/>
      <c r="F4" s="27"/>
      <c r="G4" s="27"/>
      <c r="H4" s="29"/>
      <c r="I4" s="29"/>
      <c r="J4" s="29"/>
    </row>
    <row r="5" spans="1:10" s="28" customFormat="1" ht="24.9" customHeight="1" x14ac:dyDescent="0.25">
      <c r="A5" s="30" t="s">
        <v>34</v>
      </c>
      <c r="B5" s="31"/>
      <c r="C5" s="31"/>
      <c r="D5" s="31"/>
      <c r="E5" s="31"/>
      <c r="F5" s="31"/>
      <c r="G5" s="31"/>
      <c r="I5" s="29"/>
      <c r="J5" s="29"/>
    </row>
    <row r="6" spans="1:10" s="28" customFormat="1" ht="20.100000000000001" customHeight="1" x14ac:dyDescent="0.25">
      <c r="A6" s="29" t="s">
        <v>5</v>
      </c>
      <c r="B6" s="6">
        <v>2</v>
      </c>
      <c r="C6" s="3" t="s">
        <v>6</v>
      </c>
      <c r="D6" s="3" t="s">
        <v>129</v>
      </c>
      <c r="E6" s="3"/>
      <c r="F6" s="3"/>
      <c r="G6" s="3"/>
      <c r="H6" s="29"/>
      <c r="I6" s="29"/>
      <c r="J6" s="29"/>
    </row>
    <row r="7" spans="1:10" ht="20.100000000000001" customHeight="1" x14ac:dyDescent="0.25">
      <c r="A7" s="29" t="s">
        <v>7</v>
      </c>
      <c r="B7" s="6">
        <v>1</v>
      </c>
      <c r="C7" s="3" t="s">
        <v>6</v>
      </c>
      <c r="D7" s="3" t="s">
        <v>129</v>
      </c>
      <c r="E7" s="3"/>
      <c r="F7" s="3"/>
      <c r="G7" s="3"/>
      <c r="H7" s="29"/>
      <c r="I7" s="29"/>
      <c r="J7" s="29"/>
    </row>
    <row r="8" spans="1:10" ht="20.100000000000001" customHeight="1" x14ac:dyDescent="0.25">
      <c r="A8" s="29" t="s">
        <v>8</v>
      </c>
      <c r="B8" s="2">
        <f>B6-B7</f>
        <v>1</v>
      </c>
      <c r="C8" s="3" t="s">
        <v>9</v>
      </c>
      <c r="D8" s="3"/>
      <c r="E8" s="3"/>
      <c r="F8" s="3"/>
      <c r="G8" s="3"/>
      <c r="H8" s="29"/>
      <c r="I8" s="29"/>
      <c r="J8" s="35"/>
    </row>
    <row r="9" spans="1:10" ht="20.100000000000001" customHeight="1" x14ac:dyDescent="0.25">
      <c r="A9" s="29" t="s">
        <v>10</v>
      </c>
      <c r="B9" s="6">
        <v>0.15</v>
      </c>
      <c r="C9" s="3" t="s">
        <v>9</v>
      </c>
      <c r="E9" s="3"/>
      <c r="G9" s="3"/>
      <c r="H9" s="29"/>
      <c r="I9" s="29"/>
      <c r="J9" s="35"/>
    </row>
    <row r="10" spans="1:10" ht="20.100000000000001" customHeight="1" x14ac:dyDescent="0.25">
      <c r="A10" s="29" t="s">
        <v>13</v>
      </c>
      <c r="B10" s="9">
        <f>IF(MOD(B8,B9)&gt;B9/3,ROUNDDOWN(B8/B9-1,0)+1,ROUND(B8/B9-1,0))</f>
        <v>6</v>
      </c>
      <c r="C10" s="29" t="s">
        <v>11</v>
      </c>
      <c r="D10" s="3" t="s">
        <v>131</v>
      </c>
      <c r="E10" s="106"/>
      <c r="F10" s="102"/>
      <c r="G10" s="105"/>
      <c r="H10" s="28"/>
      <c r="I10" s="29"/>
      <c r="J10" s="35"/>
    </row>
    <row r="11" spans="1:10" ht="20.100000000000001" customHeight="1" x14ac:dyDescent="0.25">
      <c r="A11" s="29" t="s">
        <v>14</v>
      </c>
      <c r="B11" s="9">
        <f>IF(MOD(B8,B9)&gt;B9/3,ROUNDDOWN(B8/B9,0)+1,ROUND(B8/B9,0))</f>
        <v>7</v>
      </c>
      <c r="C11" s="29" t="s">
        <v>11</v>
      </c>
      <c r="D11" s="3" t="s">
        <v>132</v>
      </c>
      <c r="E11" s="104"/>
      <c r="F11" s="102"/>
      <c r="G11" s="28"/>
      <c r="H11" s="28"/>
      <c r="I11" s="29"/>
      <c r="J11" s="36"/>
    </row>
    <row r="12" spans="1:10" ht="20.100000000000001" customHeight="1" x14ac:dyDescent="0.25">
      <c r="A12" s="29" t="s">
        <v>40</v>
      </c>
      <c r="B12" s="7">
        <f>B8/B11</f>
        <v>0.14285714285714285</v>
      </c>
      <c r="C12" s="3" t="s">
        <v>9</v>
      </c>
      <c r="D12" s="3"/>
      <c r="E12" s="3"/>
      <c r="F12" s="3"/>
      <c r="G12" s="3"/>
      <c r="H12" s="29"/>
      <c r="I12" s="29"/>
      <c r="J12" s="29"/>
    </row>
    <row r="13" spans="1:10" ht="20.100000000000001" customHeight="1" x14ac:dyDescent="0.25">
      <c r="A13" s="27" t="s">
        <v>44</v>
      </c>
      <c r="B13" s="8">
        <f>SQRT(2*9.81*B12)</f>
        <v>1.6741735701106808</v>
      </c>
      <c r="C13" s="27" t="s">
        <v>12</v>
      </c>
      <c r="D13" s="37" t="s">
        <v>4</v>
      </c>
      <c r="E13" s="37"/>
      <c r="F13" s="37"/>
      <c r="G13" s="37"/>
      <c r="H13" s="29"/>
      <c r="I13" s="29"/>
      <c r="J13" s="29"/>
    </row>
    <row r="14" spans="1:10" ht="24.9" customHeight="1" x14ac:dyDescent="0.25">
      <c r="A14" s="30" t="s">
        <v>35</v>
      </c>
      <c r="B14" s="38"/>
      <c r="C14" s="31"/>
      <c r="D14" s="39"/>
      <c r="E14" s="39"/>
      <c r="F14" s="39"/>
      <c r="G14" s="39"/>
      <c r="H14" s="29"/>
      <c r="I14" s="29"/>
      <c r="J14" s="40"/>
    </row>
    <row r="15" spans="1:10" ht="20.100000000000001" customHeight="1" x14ac:dyDescent="0.25">
      <c r="A15" s="29" t="s">
        <v>28</v>
      </c>
      <c r="B15" s="6">
        <v>1</v>
      </c>
      <c r="C15" s="3" t="s">
        <v>9</v>
      </c>
      <c r="D15" s="83"/>
      <c r="E15" s="3"/>
      <c r="F15" s="3"/>
      <c r="G15" s="3"/>
      <c r="H15" s="3"/>
      <c r="I15" s="29"/>
      <c r="J15" s="41"/>
    </row>
    <row r="16" spans="1:10" ht="20.100000000000001" customHeight="1" x14ac:dyDescent="0.25">
      <c r="A16" s="29" t="s">
        <v>29</v>
      </c>
      <c r="B16" s="6">
        <v>2.5</v>
      </c>
      <c r="C16" s="3" t="s">
        <v>9</v>
      </c>
      <c r="D16" s="29" t="s">
        <v>134</v>
      </c>
      <c r="E16" s="3"/>
      <c r="F16" s="3"/>
      <c r="G16" s="3"/>
      <c r="H16" s="3"/>
      <c r="I16" s="3"/>
      <c r="J16" s="41"/>
    </row>
    <row r="17" spans="1:18" ht="20.100000000000001" customHeight="1" x14ac:dyDescent="0.25">
      <c r="A17" s="29" t="s">
        <v>26</v>
      </c>
      <c r="B17" s="9">
        <f>B10*B22+B15+B16</f>
        <v>18.5</v>
      </c>
      <c r="C17" s="29" t="s">
        <v>9</v>
      </c>
      <c r="D17" s="3"/>
      <c r="E17" s="3"/>
      <c r="F17" s="3"/>
      <c r="G17" s="3"/>
      <c r="H17" s="3"/>
      <c r="I17" s="3"/>
      <c r="J17" s="42"/>
    </row>
    <row r="18" spans="1:18" ht="20.100000000000001" customHeight="1" x14ac:dyDescent="0.25">
      <c r="A18" s="29" t="s">
        <v>3</v>
      </c>
      <c r="B18" s="10">
        <f>B12/B22*100</f>
        <v>5.7142857142857144</v>
      </c>
      <c r="C18" s="29" t="s">
        <v>27</v>
      </c>
      <c r="D18" s="3"/>
      <c r="E18" s="3"/>
      <c r="F18" s="3"/>
      <c r="G18" s="3"/>
      <c r="H18" s="3"/>
      <c r="I18" s="3"/>
      <c r="J18" s="3"/>
    </row>
    <row r="19" spans="1:18" ht="20.100000000000001" customHeight="1" x14ac:dyDescent="0.25">
      <c r="A19" s="29" t="s">
        <v>120</v>
      </c>
      <c r="B19" s="6">
        <v>0.7</v>
      </c>
      <c r="C19" s="29" t="s">
        <v>9</v>
      </c>
      <c r="D19" s="3" t="s">
        <v>4</v>
      </c>
      <c r="E19" s="3"/>
      <c r="F19" s="3"/>
      <c r="G19" s="3"/>
      <c r="H19" s="3"/>
      <c r="I19" s="3"/>
      <c r="J19" s="3"/>
    </row>
    <row r="20" spans="1:18" ht="20.100000000000001" customHeight="1" x14ac:dyDescent="0.25">
      <c r="A20" s="29" t="s">
        <v>119</v>
      </c>
      <c r="B20" s="11">
        <f>B19+B12</f>
        <v>0.84285714285714275</v>
      </c>
      <c r="C20" s="29" t="s">
        <v>9</v>
      </c>
      <c r="D20" s="3"/>
      <c r="E20" s="3"/>
      <c r="F20" s="3"/>
      <c r="G20" s="3"/>
      <c r="H20" s="29"/>
      <c r="I20" s="3"/>
      <c r="J20" s="3"/>
    </row>
    <row r="21" spans="1:18" ht="20.100000000000001" customHeight="1" x14ac:dyDescent="0.25">
      <c r="A21" s="29" t="s">
        <v>17</v>
      </c>
      <c r="B21" s="6">
        <v>0.19</v>
      </c>
      <c r="C21" s="29" t="s">
        <v>9</v>
      </c>
      <c r="D21" s="3" t="s">
        <v>4</v>
      </c>
      <c r="E21" s="3"/>
      <c r="F21" s="3"/>
      <c r="G21" s="3"/>
      <c r="H21" s="3"/>
      <c r="I21" s="42"/>
      <c r="J21" s="3"/>
    </row>
    <row r="22" spans="1:18" ht="20.100000000000001" customHeight="1" x14ac:dyDescent="0.25">
      <c r="A22" s="29" t="s">
        <v>18</v>
      </c>
      <c r="B22" s="6">
        <v>2.5</v>
      </c>
      <c r="C22" s="29" t="s">
        <v>9</v>
      </c>
      <c r="D22" s="3" t="s">
        <v>4</v>
      </c>
      <c r="E22" s="3"/>
      <c r="F22" s="3"/>
      <c r="G22" s="3"/>
      <c r="H22" s="3"/>
      <c r="I22" s="29"/>
      <c r="J22" s="43"/>
      <c r="L22" s="103"/>
    </row>
    <row r="23" spans="1:18" ht="20.100000000000001" customHeight="1" x14ac:dyDescent="0.25">
      <c r="A23" s="29" t="s">
        <v>19</v>
      </c>
      <c r="B23" s="11">
        <f>B22/3*2</f>
        <v>1.6666666666666667</v>
      </c>
      <c r="C23" s="29" t="s">
        <v>9</v>
      </c>
      <c r="D23" s="3" t="s">
        <v>91</v>
      </c>
      <c r="E23" s="3"/>
      <c r="F23" s="3"/>
      <c r="G23" s="3"/>
      <c r="H23" s="3"/>
      <c r="I23" s="3"/>
      <c r="J23" s="29"/>
    </row>
    <row r="24" spans="1:18" ht="20.100000000000001" customHeight="1" x14ac:dyDescent="0.25">
      <c r="A24" s="27" t="s">
        <v>20</v>
      </c>
      <c r="B24" s="12">
        <v>0.05</v>
      </c>
      <c r="C24" s="27" t="s">
        <v>9</v>
      </c>
      <c r="D24" s="37" t="s">
        <v>92</v>
      </c>
      <c r="E24" s="37"/>
      <c r="F24" s="37"/>
      <c r="G24" s="37"/>
      <c r="H24" s="3"/>
      <c r="I24" s="3"/>
      <c r="J24" s="3"/>
    </row>
    <row r="25" spans="1:18" ht="24.9" customHeight="1" x14ac:dyDescent="0.25">
      <c r="A25" s="30" t="s">
        <v>33</v>
      </c>
      <c r="B25" s="39"/>
      <c r="C25" s="39"/>
      <c r="D25" s="39"/>
      <c r="E25" s="39"/>
      <c r="F25" s="39"/>
      <c r="G25" s="39"/>
      <c r="H25" s="3"/>
      <c r="I25" s="3"/>
      <c r="J25" s="3"/>
    </row>
    <row r="26" spans="1:18" ht="20.100000000000001" customHeight="1" x14ac:dyDescent="0.25">
      <c r="A26" s="29" t="s">
        <v>30</v>
      </c>
      <c r="B26" s="2">
        <f>B19/B20</f>
        <v>0.83050847457627119</v>
      </c>
      <c r="C26" s="3" t="s">
        <v>11</v>
      </c>
      <c r="D26" s="3"/>
      <c r="E26" s="3"/>
      <c r="F26" s="3"/>
      <c r="G26" s="3"/>
      <c r="H26" s="3"/>
      <c r="I26" s="3"/>
      <c r="J26" s="3"/>
    </row>
    <row r="27" spans="1:18" ht="20.100000000000001" customHeight="1" x14ac:dyDescent="0.25">
      <c r="A27" s="29" t="s">
        <v>41</v>
      </c>
      <c r="B27" s="2">
        <f>-3.469*B26^3+5.703*B26^2-3.266*B26+1.23</f>
        <v>0.46399442981025341</v>
      </c>
      <c r="C27" s="3" t="s">
        <v>11</v>
      </c>
      <c r="D27" s="3" t="s">
        <v>31</v>
      </c>
      <c r="E27" s="3"/>
      <c r="F27" s="3"/>
      <c r="G27" s="3"/>
      <c r="H27" s="3"/>
      <c r="I27" s="3"/>
      <c r="J27" s="3"/>
    </row>
    <row r="28" spans="1:18" ht="20.100000000000001" customHeight="1" x14ac:dyDescent="0.25">
      <c r="A28" s="76" t="s">
        <v>94</v>
      </c>
      <c r="B28" s="77">
        <f>2/3*B27*B21*SQRT(2*B41)*(B20^(3/2))</f>
        <v>0.20144457114087636</v>
      </c>
      <c r="C28" s="76" t="s">
        <v>32</v>
      </c>
      <c r="D28" s="4">
        <f>B28*1000</f>
        <v>201.44457114087635</v>
      </c>
      <c r="E28" s="5" t="s">
        <v>1</v>
      </c>
      <c r="F28" s="37"/>
      <c r="G28" s="37"/>
      <c r="H28" s="3"/>
      <c r="I28" s="3"/>
      <c r="J28" s="3"/>
    </row>
    <row r="29" spans="1:18" ht="24.9" customHeight="1" x14ac:dyDescent="0.25">
      <c r="A29" s="30" t="s">
        <v>0</v>
      </c>
      <c r="B29" s="39"/>
      <c r="C29" s="39"/>
      <c r="D29" s="39"/>
      <c r="E29" s="39"/>
      <c r="F29" s="39"/>
      <c r="G29" s="39"/>
      <c r="H29" s="3"/>
      <c r="I29" s="3"/>
      <c r="J29" s="3"/>
      <c r="Q29" s="3"/>
    </row>
    <row r="30" spans="1:18" ht="20.100000000000001" customHeight="1" x14ac:dyDescent="0.25">
      <c r="A30" s="29" t="s">
        <v>36</v>
      </c>
      <c r="B30" s="2">
        <f>(B19+B20)/2</f>
        <v>0.77142857142857135</v>
      </c>
      <c r="C30" s="29" t="s">
        <v>9</v>
      </c>
      <c r="D30" s="3"/>
      <c r="E30" s="3"/>
      <c r="F30" s="3"/>
      <c r="G30" s="3"/>
      <c r="H30" s="3"/>
      <c r="I30" s="3"/>
      <c r="J30" s="3"/>
      <c r="Q30" s="3"/>
    </row>
    <row r="31" spans="1:18" ht="20.100000000000001" customHeight="1" x14ac:dyDescent="0.25">
      <c r="A31" s="44" t="s">
        <v>42</v>
      </c>
      <c r="B31" s="96">
        <f>(B40*B41*B12*B28)/(B23*B30*(B22-B24))</f>
        <v>89.622278589206203</v>
      </c>
      <c r="C31" s="44" t="s">
        <v>37</v>
      </c>
      <c r="D31" s="3" t="s">
        <v>4</v>
      </c>
      <c r="E31" s="29"/>
      <c r="F31" s="3"/>
      <c r="G31" s="3"/>
      <c r="H31" s="3"/>
      <c r="I31" s="3"/>
      <c r="J31" s="3"/>
      <c r="P31" s="3"/>
      <c r="Q31" s="42"/>
      <c r="R31" s="42"/>
    </row>
    <row r="32" spans="1:18" ht="20.100000000000001" customHeight="1" x14ac:dyDescent="0.25">
      <c r="A32" s="29" t="s">
        <v>38</v>
      </c>
      <c r="B32" s="13">
        <f>(B28^2/(B40*(B21^2)))^(1/3)</f>
        <v>0.10397636837105168</v>
      </c>
      <c r="C32" s="3" t="s">
        <v>9</v>
      </c>
      <c r="D32" s="45" t="str">
        <f>IF(B19&gt;B32,"ok","schießend")</f>
        <v>ok</v>
      </c>
      <c r="E32" s="29" t="s">
        <v>39</v>
      </c>
      <c r="F32" s="3"/>
      <c r="G32" s="3"/>
      <c r="H32" s="3"/>
      <c r="I32" s="3"/>
      <c r="J32" s="3"/>
      <c r="Q32" s="46"/>
      <c r="R32" s="46"/>
    </row>
    <row r="33" spans="1:18" ht="20.100000000000001" customHeight="1" x14ac:dyDescent="0.25">
      <c r="A33" s="27" t="s">
        <v>99</v>
      </c>
      <c r="B33" s="1">
        <f>(B41*B32)^(1/2)</f>
        <v>1.009954540422497</v>
      </c>
      <c r="C33" s="37" t="s">
        <v>9</v>
      </c>
      <c r="D33" s="47" t="str">
        <f>IF(B33&lt;B13,"ok","schießend")</f>
        <v>ok</v>
      </c>
      <c r="E33" s="27" t="s">
        <v>39</v>
      </c>
      <c r="F33" s="27"/>
      <c r="G33" s="27"/>
      <c r="H33" s="3"/>
      <c r="I33" s="3"/>
      <c r="J33" s="3"/>
      <c r="Q33" s="46"/>
      <c r="R33" s="46"/>
    </row>
    <row r="34" spans="1:18" ht="24.9" customHeight="1" x14ac:dyDescent="0.25">
      <c r="A34" s="19" t="s">
        <v>89</v>
      </c>
      <c r="B34" s="20"/>
      <c r="C34" s="21"/>
      <c r="D34" s="22"/>
      <c r="E34" s="22"/>
      <c r="F34" s="21"/>
      <c r="G34" s="21"/>
      <c r="H34" s="3"/>
      <c r="I34" s="3"/>
      <c r="J34" s="3"/>
      <c r="Q34" s="46"/>
      <c r="R34" s="46"/>
    </row>
    <row r="35" spans="1:18" ht="15" customHeight="1" x14ac:dyDescent="0.25">
      <c r="A35" s="17" t="s">
        <v>21</v>
      </c>
      <c r="B35" s="14">
        <f>IF(B21&lt;0.2,0.16,IF(B21&lt;0.25,0.18,IF(B21&lt;0.3,0.2,IF(B21&lt;0.35,0.25,0.3))))</f>
        <v>0.16</v>
      </c>
      <c r="C35" s="17" t="s">
        <v>9</v>
      </c>
      <c r="D35" s="23"/>
      <c r="E35" s="17"/>
      <c r="F35" s="23"/>
      <c r="G35" s="23"/>
      <c r="H35" s="3"/>
      <c r="I35" s="3"/>
      <c r="J35" s="3"/>
      <c r="Q35" s="46"/>
      <c r="R35" s="46"/>
    </row>
    <row r="36" spans="1:18" ht="15" customHeight="1" x14ac:dyDescent="0.25">
      <c r="A36" s="17" t="s">
        <v>130</v>
      </c>
      <c r="B36" s="15">
        <v>30</v>
      </c>
      <c r="C36" s="17" t="s">
        <v>88</v>
      </c>
      <c r="D36" s="23" t="s">
        <v>24</v>
      </c>
      <c r="E36" s="17"/>
      <c r="F36" s="23"/>
      <c r="G36" s="23"/>
      <c r="H36" s="3"/>
      <c r="I36" s="3"/>
      <c r="J36" s="3"/>
      <c r="Q36" s="46"/>
      <c r="R36" s="46"/>
    </row>
    <row r="37" spans="1:18" ht="15" customHeight="1" x14ac:dyDescent="0.25">
      <c r="A37" s="17" t="s">
        <v>22</v>
      </c>
      <c r="B37" s="14">
        <f>B21*SIN(RADIANS(B36))</f>
        <v>9.4999999999999987E-2</v>
      </c>
      <c r="C37" s="17" t="s">
        <v>9</v>
      </c>
      <c r="D37" s="23"/>
      <c r="E37" s="17"/>
      <c r="F37" s="23"/>
      <c r="G37" s="23"/>
      <c r="H37" s="3"/>
      <c r="I37" s="3"/>
      <c r="J37" s="3"/>
      <c r="Q37" s="46"/>
      <c r="R37" s="46"/>
    </row>
    <row r="38" spans="1:18" ht="15" customHeight="1" x14ac:dyDescent="0.25">
      <c r="A38" s="18" t="s">
        <v>23</v>
      </c>
      <c r="B38" s="16">
        <f>IF(B21&lt;0.2,0.16,IF(B21&lt;0.25,0.2,IF(B21&lt;0.3,0.25,IF(B21&lt;0.35,0.3,0.4))))</f>
        <v>0.16</v>
      </c>
      <c r="C38" s="18" t="s">
        <v>9</v>
      </c>
      <c r="D38" s="24"/>
      <c r="E38" s="18"/>
      <c r="F38" s="24"/>
      <c r="G38" s="24"/>
      <c r="H38" s="3"/>
      <c r="I38" s="3"/>
      <c r="J38" s="3"/>
      <c r="Q38" s="46"/>
      <c r="R38" s="46"/>
    </row>
    <row r="39" spans="1:18" ht="24.9" customHeight="1" x14ac:dyDescent="0.25">
      <c r="A39" s="25" t="s">
        <v>90</v>
      </c>
      <c r="B39" s="21"/>
      <c r="C39" s="21"/>
      <c r="D39" s="21"/>
      <c r="E39" s="22"/>
      <c r="F39" s="22"/>
      <c r="G39" s="22"/>
      <c r="H39" s="3"/>
      <c r="I39" s="3"/>
      <c r="J39" s="3"/>
      <c r="Q39" s="48"/>
      <c r="R39" s="48"/>
    </row>
    <row r="40" spans="1:18" ht="15" customHeight="1" x14ac:dyDescent="0.25">
      <c r="A40" s="23" t="s">
        <v>93</v>
      </c>
      <c r="B40" s="17">
        <v>1000</v>
      </c>
      <c r="C40" s="23" t="s">
        <v>15</v>
      </c>
      <c r="D40" s="23"/>
      <c r="E40" s="23"/>
      <c r="F40" s="17"/>
      <c r="G40" s="17"/>
      <c r="H40" s="3"/>
      <c r="I40" s="3"/>
      <c r="J40" s="3"/>
    </row>
    <row r="41" spans="1:18" ht="15" customHeight="1" x14ac:dyDescent="0.25">
      <c r="A41" s="24" t="s">
        <v>25</v>
      </c>
      <c r="B41" s="18">
        <v>9.81</v>
      </c>
      <c r="C41" s="24" t="s">
        <v>16</v>
      </c>
      <c r="D41" s="24"/>
      <c r="E41" s="24"/>
      <c r="F41" s="18"/>
      <c r="G41" s="18"/>
      <c r="H41" s="29"/>
      <c r="I41" s="3"/>
      <c r="J41" s="3"/>
    </row>
    <row r="42" spans="1:18" ht="15" customHeight="1" x14ac:dyDescent="0.25">
      <c r="F42" s="28"/>
      <c r="G42" s="28"/>
      <c r="H42" s="29"/>
      <c r="I42" s="3"/>
      <c r="J42" s="3"/>
    </row>
    <row r="43" spans="1:18" ht="15" customHeight="1" x14ac:dyDescent="0.25">
      <c r="F43" s="28"/>
      <c r="G43" s="28"/>
      <c r="H43" s="29"/>
      <c r="I43" s="3"/>
      <c r="J43" s="3"/>
    </row>
    <row r="44" spans="1:18" ht="15" customHeight="1" x14ac:dyDescent="0.25">
      <c r="F44" s="28"/>
      <c r="G44" s="28"/>
      <c r="H44" s="28"/>
      <c r="I44" s="29"/>
      <c r="J44" s="3"/>
    </row>
    <row r="45" spans="1:18" ht="15" customHeight="1" x14ac:dyDescent="0.25">
      <c r="F45" s="28"/>
      <c r="G45" s="28"/>
      <c r="H45" s="28"/>
      <c r="I45" s="29"/>
      <c r="J45" s="3"/>
    </row>
    <row r="46" spans="1:18" ht="15" customHeight="1" x14ac:dyDescent="0.25">
      <c r="A46" s="28"/>
      <c r="B46" s="28"/>
      <c r="C46" s="28"/>
      <c r="D46" s="28"/>
      <c r="E46" s="28"/>
      <c r="F46" s="28"/>
      <c r="G46" s="28"/>
      <c r="H46" s="28"/>
      <c r="I46" s="29"/>
      <c r="J46" s="29"/>
      <c r="K46" s="28"/>
      <c r="L46" s="28"/>
      <c r="M46" s="28"/>
    </row>
    <row r="47" spans="1:18" ht="15" customHeight="1" x14ac:dyDescent="0.25">
      <c r="A47" s="28"/>
      <c r="B47" s="28"/>
      <c r="C47" s="28"/>
      <c r="D47" s="28"/>
      <c r="E47" s="28"/>
      <c r="F47" s="28"/>
      <c r="G47" s="28"/>
      <c r="H47" s="28"/>
      <c r="I47" s="28"/>
      <c r="J47" s="29"/>
      <c r="K47" s="28"/>
      <c r="L47" s="28"/>
      <c r="M47" s="28"/>
    </row>
    <row r="48" spans="1:18" ht="15" customHeight="1" x14ac:dyDescent="0.25">
      <c r="A48" s="28"/>
      <c r="B48" s="28"/>
      <c r="C48" s="28"/>
      <c r="D48" s="49"/>
      <c r="E48" s="50"/>
      <c r="F48" s="28"/>
      <c r="G48" s="28"/>
      <c r="H48" s="28"/>
      <c r="I48" s="28"/>
      <c r="J48" s="29"/>
      <c r="K48" s="28"/>
      <c r="L48" s="28"/>
      <c r="M48" s="28"/>
    </row>
    <row r="49" spans="1:13" ht="15" customHeight="1" x14ac:dyDescent="0.25">
      <c r="A49" s="28"/>
      <c r="B49" s="28"/>
      <c r="C49" s="28"/>
      <c r="D49" s="28"/>
      <c r="E49" s="28"/>
      <c r="F49" s="28"/>
      <c r="G49" s="28"/>
      <c r="H49" s="28"/>
      <c r="I49" s="28"/>
      <c r="J49" s="28"/>
      <c r="K49" s="28"/>
      <c r="L49" s="28"/>
      <c r="M49" s="28"/>
    </row>
    <row r="50" spans="1:13" ht="15" customHeight="1" x14ac:dyDescent="0.25">
      <c r="A50" s="28"/>
      <c r="B50" s="28"/>
      <c r="C50" s="28"/>
      <c r="D50" s="28"/>
      <c r="E50" s="28"/>
      <c r="F50" s="28"/>
      <c r="G50" s="28"/>
      <c r="H50" s="28"/>
      <c r="I50" s="28"/>
      <c r="J50" s="28"/>
      <c r="K50" s="28"/>
      <c r="L50" s="28"/>
      <c r="M50" s="28"/>
    </row>
    <row r="51" spans="1:13" ht="15" customHeight="1" x14ac:dyDescent="0.25">
      <c r="A51" s="28"/>
      <c r="B51" s="28"/>
      <c r="C51" s="28"/>
      <c r="D51" s="28"/>
      <c r="E51" s="28"/>
      <c r="F51" s="28"/>
      <c r="G51" s="28"/>
      <c r="H51" s="28"/>
      <c r="I51" s="28"/>
      <c r="J51" s="28"/>
      <c r="K51" s="28"/>
      <c r="L51" s="28"/>
      <c r="M51" s="28"/>
    </row>
    <row r="52" spans="1:13" ht="15" customHeight="1" x14ac:dyDescent="0.25">
      <c r="A52" s="28"/>
      <c r="B52" s="28"/>
      <c r="C52" s="28"/>
      <c r="D52" s="28"/>
      <c r="E52" s="28"/>
      <c r="F52" s="28"/>
      <c r="G52" s="28"/>
      <c r="H52" s="28"/>
      <c r="I52" s="28"/>
      <c r="J52" s="28"/>
      <c r="K52" s="28"/>
      <c r="L52" s="28"/>
      <c r="M52" s="28"/>
    </row>
    <row r="53" spans="1:13" ht="15" customHeight="1" x14ac:dyDescent="0.25">
      <c r="A53" s="28"/>
      <c r="B53" s="28"/>
      <c r="C53" s="28"/>
      <c r="D53" s="28"/>
      <c r="E53" s="28"/>
      <c r="F53" s="28"/>
      <c r="G53" s="28"/>
      <c r="H53" s="28"/>
      <c r="I53" s="28"/>
      <c r="J53" s="28"/>
      <c r="K53" s="28"/>
      <c r="L53" s="28"/>
      <c r="M53" s="28"/>
    </row>
    <row r="54" spans="1:13" ht="15" customHeight="1" x14ac:dyDescent="0.25">
      <c r="A54" s="28"/>
      <c r="B54" s="28"/>
      <c r="C54" s="28"/>
      <c r="D54" s="28"/>
      <c r="E54" s="28"/>
      <c r="F54" s="28"/>
      <c r="G54" s="28"/>
      <c r="H54" s="28"/>
      <c r="I54" s="28"/>
      <c r="J54" s="44"/>
      <c r="K54" s="28"/>
      <c r="L54" s="28"/>
      <c r="M54" s="28"/>
    </row>
    <row r="55" spans="1:13" ht="15" customHeight="1" x14ac:dyDescent="0.25">
      <c r="A55" s="28"/>
      <c r="B55" s="28"/>
      <c r="C55" s="28"/>
      <c r="D55" s="28"/>
      <c r="E55" s="28"/>
      <c r="F55" s="28"/>
      <c r="G55" s="28"/>
      <c r="H55" s="28"/>
      <c r="I55" s="28"/>
      <c r="J55" s="28"/>
      <c r="K55" s="28"/>
      <c r="L55" s="28"/>
      <c r="M55" s="28"/>
    </row>
    <row r="56" spans="1:13" ht="15" customHeight="1" x14ac:dyDescent="0.25">
      <c r="A56" s="28"/>
      <c r="B56" s="28"/>
      <c r="C56" s="28"/>
      <c r="D56" s="28"/>
      <c r="E56" s="28"/>
      <c r="F56" s="28"/>
      <c r="G56" s="28"/>
      <c r="H56" s="28"/>
      <c r="I56" s="28"/>
      <c r="J56" s="28"/>
      <c r="K56" s="28"/>
      <c r="L56" s="28"/>
      <c r="M56" s="28"/>
    </row>
    <row r="57" spans="1:13" ht="15" customHeight="1" x14ac:dyDescent="0.25">
      <c r="A57" s="28"/>
      <c r="B57" s="28"/>
      <c r="C57" s="28"/>
      <c r="D57" s="28"/>
      <c r="E57" s="28"/>
      <c r="F57" s="28"/>
      <c r="G57" s="28"/>
      <c r="H57" s="28"/>
      <c r="I57" s="28"/>
      <c r="J57" s="28"/>
      <c r="K57" s="28"/>
      <c r="L57" s="28"/>
      <c r="M57" s="28"/>
    </row>
    <row r="58" spans="1:13" ht="15" customHeight="1" x14ac:dyDescent="0.25">
      <c r="H58" s="28"/>
      <c r="I58" s="28"/>
      <c r="J58" s="28"/>
      <c r="K58" s="28"/>
      <c r="L58" s="28"/>
      <c r="M58" s="28"/>
    </row>
    <row r="59" spans="1:13" ht="15" customHeight="1" x14ac:dyDescent="0.25">
      <c r="H59" s="28"/>
      <c r="I59" s="28"/>
      <c r="J59" s="44"/>
      <c r="K59" s="51"/>
      <c r="L59" s="28"/>
      <c r="M59" s="28"/>
    </row>
    <row r="60" spans="1:13" ht="15" customHeight="1" x14ac:dyDescent="0.25">
      <c r="H60" s="28"/>
      <c r="I60" s="28"/>
      <c r="J60" s="28"/>
      <c r="K60" s="28"/>
      <c r="L60" s="28"/>
      <c r="M60" s="28"/>
    </row>
    <row r="61" spans="1:13" ht="15" customHeight="1" x14ac:dyDescent="0.25">
      <c r="B61" s="28"/>
      <c r="C61" s="28"/>
      <c r="D61" s="28"/>
      <c r="E61" s="28"/>
      <c r="F61" s="28"/>
      <c r="G61" s="28"/>
      <c r="H61" s="28"/>
      <c r="I61" s="28"/>
      <c r="J61" s="28"/>
      <c r="K61" s="28"/>
      <c r="L61" s="28"/>
      <c r="M61" s="28"/>
    </row>
    <row r="62" spans="1:13" ht="15" customHeight="1" x14ac:dyDescent="0.25">
      <c r="B62" s="28"/>
      <c r="C62" s="28"/>
      <c r="D62" s="28"/>
      <c r="E62" s="28"/>
      <c r="F62" s="28"/>
      <c r="G62" s="28"/>
      <c r="I62" s="28"/>
      <c r="J62" s="28"/>
      <c r="K62" s="28"/>
      <c r="L62" s="28"/>
      <c r="M62" s="28"/>
    </row>
    <row r="63" spans="1:13" ht="15" customHeight="1" x14ac:dyDescent="0.25">
      <c r="B63" s="28"/>
      <c r="C63" s="28"/>
      <c r="D63" s="28"/>
      <c r="E63" s="28"/>
      <c r="F63" s="28"/>
      <c r="G63" s="28"/>
      <c r="I63" s="28"/>
      <c r="J63" s="28"/>
      <c r="K63" s="28"/>
      <c r="L63" s="28"/>
      <c r="M63" s="28"/>
    </row>
    <row r="64" spans="1:13" ht="15" customHeight="1" x14ac:dyDescent="0.25">
      <c r="B64" s="28"/>
      <c r="C64" s="28"/>
      <c r="D64" s="28"/>
      <c r="E64" s="28"/>
      <c r="F64" s="28"/>
      <c r="G64" s="28"/>
      <c r="I64" s="28"/>
      <c r="J64" s="28"/>
      <c r="K64" s="28"/>
      <c r="L64" s="28"/>
      <c r="M64" s="28"/>
    </row>
    <row r="65" spans="2:17" ht="15" customHeight="1" x14ac:dyDescent="0.25">
      <c r="B65" s="28"/>
      <c r="C65" s="28"/>
      <c r="D65" s="28"/>
      <c r="E65" s="28"/>
      <c r="F65" s="28"/>
      <c r="G65" s="28"/>
      <c r="H65" s="28"/>
      <c r="J65" s="28"/>
      <c r="K65" s="28"/>
      <c r="L65" s="28"/>
      <c r="M65" s="28"/>
      <c r="Q65" s="52"/>
    </row>
    <row r="66" spans="2:17" ht="15" customHeight="1" x14ac:dyDescent="0.25">
      <c r="B66" s="28"/>
      <c r="C66" s="28"/>
      <c r="D66" s="28"/>
      <c r="E66" s="28"/>
      <c r="F66" s="28"/>
      <c r="G66" s="53"/>
      <c r="H66" s="28"/>
      <c r="J66" s="28"/>
      <c r="K66" s="28"/>
      <c r="L66" s="28"/>
      <c r="M66" s="28"/>
    </row>
    <row r="67" spans="2:17" ht="15" customHeight="1" x14ac:dyDescent="0.25">
      <c r="B67" s="28"/>
      <c r="C67" s="28"/>
      <c r="D67" s="28"/>
      <c r="E67" s="28"/>
      <c r="F67" s="28"/>
      <c r="G67" s="28"/>
      <c r="H67" s="28"/>
    </row>
    <row r="68" spans="2:17" ht="15" customHeight="1" x14ac:dyDescent="0.25">
      <c r="B68" s="28"/>
      <c r="C68" s="28"/>
      <c r="D68" s="28"/>
      <c r="E68" s="28"/>
      <c r="F68" s="28"/>
      <c r="G68" s="28"/>
      <c r="H68" s="28"/>
    </row>
    <row r="69" spans="2:17" ht="15" customHeight="1" x14ac:dyDescent="0.25">
      <c r="B69" s="28"/>
      <c r="C69" s="28"/>
      <c r="D69" s="28"/>
      <c r="E69" s="28"/>
      <c r="F69" s="28"/>
      <c r="G69" s="28"/>
      <c r="H69" s="28"/>
    </row>
    <row r="70" spans="2:17" ht="15" customHeight="1" x14ac:dyDescent="0.25">
      <c r="B70" s="28"/>
      <c r="C70" s="28"/>
      <c r="D70" s="28"/>
      <c r="E70" s="28"/>
      <c r="F70" s="28"/>
      <c r="G70" s="28"/>
      <c r="H70" s="28"/>
    </row>
    <row r="71" spans="2:17" ht="15" customHeight="1" x14ac:dyDescent="0.25">
      <c r="H71" s="28"/>
    </row>
    <row r="72" spans="2:17" ht="15" customHeight="1" x14ac:dyDescent="0.25">
      <c r="H72" s="28"/>
    </row>
    <row r="73" spans="2:17" ht="15" customHeight="1" x14ac:dyDescent="0.25">
      <c r="H73" s="28"/>
      <c r="J73" s="54"/>
    </row>
    <row r="74" spans="2:17" ht="15" customHeight="1" x14ac:dyDescent="0.25">
      <c r="H74" s="28"/>
      <c r="J74" s="54"/>
    </row>
    <row r="75" spans="2:17" ht="15" customHeight="1" x14ac:dyDescent="0.25">
      <c r="J75" s="54"/>
    </row>
    <row r="76" spans="2:17" ht="15" customHeight="1" x14ac:dyDescent="0.25">
      <c r="J76" s="54"/>
    </row>
    <row r="77" spans="2:17" ht="15" customHeight="1" x14ac:dyDescent="0.25">
      <c r="J77" s="54"/>
    </row>
    <row r="78" spans="2:17" ht="15" customHeight="1" x14ac:dyDescent="0.25">
      <c r="J78" s="54"/>
    </row>
    <row r="79" spans="2:17" ht="15" customHeight="1" x14ac:dyDescent="0.25">
      <c r="J79" s="54"/>
    </row>
    <row r="80" spans="2:17" ht="15" customHeight="1" x14ac:dyDescent="0.25">
      <c r="J80" s="54"/>
    </row>
  </sheetData>
  <sheetProtection password="DDF1" sheet="1" objects="1" selectLockedCells="1"/>
  <phoneticPr fontId="5" type="noConversion"/>
  <pageMargins left="0.78740157480314965" right="0.78740157480314965" top="0.98425196850393704" bottom="0.98425196850393704" header="0.51181102362204722" footer="0.51181102362204722"/>
  <pageSetup paperSize="9" scale="79"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2"/>
  <sheetViews>
    <sheetView zoomScale="85" zoomScaleNormal="85" workbookViewId="0">
      <selection activeCell="B12" sqref="B12"/>
    </sheetView>
  </sheetViews>
  <sheetFormatPr baseColWidth="10" defaultColWidth="11.44140625" defaultRowHeight="15" customHeight="1" x14ac:dyDescent="0.25"/>
  <cols>
    <col min="1" max="1" width="44.6640625" style="34" bestFit="1" customWidth="1"/>
    <col min="2" max="3" width="8.6640625" style="34" customWidth="1"/>
    <col min="4" max="4" width="14.33203125" style="34" customWidth="1"/>
    <col min="5" max="5" width="4.5546875" style="34" customWidth="1"/>
    <col min="6" max="6" width="11.44140625" style="34"/>
    <col min="7" max="7" width="28.6640625" style="34" customWidth="1"/>
    <col min="8" max="16384" width="11.44140625" style="34"/>
  </cols>
  <sheetData>
    <row r="1" spans="1:10" s="28" customFormat="1" ht="24.9" customHeight="1" x14ac:dyDescent="0.25">
      <c r="A1" s="26" t="s">
        <v>123</v>
      </c>
      <c r="B1" s="27"/>
      <c r="C1" s="27"/>
      <c r="D1" s="27"/>
      <c r="E1" s="27"/>
      <c r="F1" s="27"/>
      <c r="G1" s="27"/>
      <c r="I1" s="29"/>
      <c r="J1" s="29"/>
    </row>
    <row r="2" spans="1:10" s="28" customFormat="1" ht="20.100000000000001" customHeight="1" x14ac:dyDescent="0.25">
      <c r="A2" s="30" t="s">
        <v>43</v>
      </c>
      <c r="B2" s="31"/>
      <c r="C2" s="31"/>
      <c r="D2" s="31"/>
      <c r="E2" s="31"/>
      <c r="F2" s="31"/>
      <c r="G2" s="31"/>
      <c r="H2" s="29"/>
      <c r="I2" s="29"/>
      <c r="J2" s="29"/>
    </row>
    <row r="3" spans="1:10" s="28" customFormat="1" ht="20.100000000000001" customHeight="1" x14ac:dyDescent="0.25">
      <c r="A3" s="29" t="s">
        <v>87</v>
      </c>
      <c r="B3" s="32"/>
      <c r="C3" s="29"/>
      <c r="D3" s="29" t="s">
        <v>127</v>
      </c>
      <c r="E3" s="29"/>
      <c r="F3" s="29"/>
      <c r="G3" s="29"/>
      <c r="H3" s="29"/>
      <c r="I3" s="29"/>
      <c r="J3" s="29"/>
    </row>
    <row r="4" spans="1:10" s="28" customFormat="1" ht="20.100000000000001" customHeight="1" x14ac:dyDescent="0.25">
      <c r="A4" s="27" t="s">
        <v>95</v>
      </c>
      <c r="B4" s="33"/>
      <c r="C4" s="27"/>
      <c r="D4" s="27"/>
      <c r="E4" s="27"/>
      <c r="F4" s="27"/>
      <c r="G4" s="27"/>
      <c r="H4" s="29"/>
      <c r="I4" s="29"/>
      <c r="J4" s="29"/>
    </row>
    <row r="5" spans="1:10" s="28" customFormat="1" ht="24.9" customHeight="1" x14ac:dyDescent="0.25">
      <c r="A5" s="30" t="s">
        <v>124</v>
      </c>
      <c r="B5" s="31"/>
      <c r="C5" s="31"/>
      <c r="D5" s="31"/>
      <c r="E5" s="31"/>
      <c r="F5" s="31"/>
      <c r="G5" s="31"/>
      <c r="I5" s="29"/>
      <c r="J5" s="29"/>
    </row>
    <row r="6" spans="1:10" s="28" customFormat="1" ht="20.100000000000001" customHeight="1" x14ac:dyDescent="0.25">
      <c r="A6" s="29" t="s">
        <v>96</v>
      </c>
      <c r="B6" s="6">
        <v>0.18</v>
      </c>
      <c r="C6" s="3" t="s">
        <v>9</v>
      </c>
      <c r="D6" s="3" t="s">
        <v>4</v>
      </c>
      <c r="E6" s="3"/>
      <c r="F6" s="3"/>
      <c r="G6" s="3"/>
      <c r="H6" s="29"/>
      <c r="I6" s="29"/>
      <c r="J6" s="29"/>
    </row>
    <row r="7" spans="1:10" ht="20.100000000000001" customHeight="1" x14ac:dyDescent="0.25">
      <c r="A7" s="27" t="s">
        <v>44</v>
      </c>
      <c r="B7" s="8">
        <f>SQRT(2*9.81*B6)</f>
        <v>1.879255171603899</v>
      </c>
      <c r="C7" s="27" t="s">
        <v>12</v>
      </c>
      <c r="D7" s="37" t="s">
        <v>4</v>
      </c>
      <c r="E7" s="37"/>
      <c r="F7" s="37"/>
      <c r="G7" s="37"/>
      <c r="H7" s="29"/>
      <c r="I7" s="29"/>
      <c r="J7" s="29"/>
    </row>
    <row r="8" spans="1:10" ht="20.100000000000001" customHeight="1" x14ac:dyDescent="0.25">
      <c r="A8" s="30" t="s">
        <v>35</v>
      </c>
      <c r="B8" s="38"/>
      <c r="C8" s="31"/>
      <c r="D8" s="39"/>
      <c r="E8" s="39"/>
      <c r="F8" s="39"/>
      <c r="G8" s="39"/>
      <c r="H8" s="29"/>
      <c r="I8" s="29"/>
      <c r="J8" s="35"/>
    </row>
    <row r="9" spans="1:10" ht="20.100000000000001" customHeight="1" x14ac:dyDescent="0.25">
      <c r="A9" s="29" t="s">
        <v>3</v>
      </c>
      <c r="B9" s="10">
        <f>B6/B15*100</f>
        <v>6</v>
      </c>
      <c r="C9" s="29" t="s">
        <v>27</v>
      </c>
      <c r="D9" s="3"/>
      <c r="E9" s="3"/>
      <c r="F9" s="3"/>
      <c r="G9" s="3"/>
      <c r="H9" s="29"/>
      <c r="I9" s="29"/>
      <c r="J9" s="35"/>
    </row>
    <row r="10" spans="1:10" ht="20.100000000000001" customHeight="1" x14ac:dyDescent="0.25">
      <c r="A10" s="29" t="s">
        <v>120</v>
      </c>
      <c r="B10" s="6">
        <v>0.8</v>
      </c>
      <c r="C10" s="29" t="s">
        <v>9</v>
      </c>
      <c r="D10" s="3" t="s">
        <v>4</v>
      </c>
      <c r="E10" s="3"/>
      <c r="F10" s="3"/>
      <c r="G10" s="3"/>
      <c r="H10" s="28"/>
      <c r="I10" s="29"/>
      <c r="J10" s="35"/>
    </row>
    <row r="11" spans="1:10" ht="20.100000000000001" customHeight="1" x14ac:dyDescent="0.25">
      <c r="A11" s="29" t="s">
        <v>119</v>
      </c>
      <c r="B11" s="11">
        <f>B10+B6</f>
        <v>0.98</v>
      </c>
      <c r="C11" s="29" t="s">
        <v>9</v>
      </c>
      <c r="D11" s="3"/>
      <c r="E11" s="3"/>
      <c r="F11" s="3"/>
      <c r="G11" s="3"/>
      <c r="H11" s="28"/>
      <c r="I11" s="29"/>
      <c r="J11" s="36"/>
    </row>
    <row r="12" spans="1:10" ht="20.100000000000001" customHeight="1" x14ac:dyDescent="0.25">
      <c r="A12" s="29" t="s">
        <v>17</v>
      </c>
      <c r="B12" s="6">
        <v>0.28999999999999998</v>
      </c>
      <c r="C12" s="29" t="s">
        <v>9</v>
      </c>
      <c r="D12" s="3" t="s">
        <v>4</v>
      </c>
      <c r="E12" s="3"/>
      <c r="F12" s="3"/>
      <c r="G12" s="3"/>
      <c r="H12" s="29"/>
      <c r="I12" s="29"/>
      <c r="J12" s="29"/>
    </row>
    <row r="13" spans="1:10" ht="20.100000000000001" customHeight="1" x14ac:dyDescent="0.25">
      <c r="A13" s="29" t="s">
        <v>121</v>
      </c>
      <c r="B13" s="6">
        <v>0.62</v>
      </c>
      <c r="C13" s="29" t="s">
        <v>9</v>
      </c>
      <c r="D13" s="71" t="str">
        <f>IF(B13&lt;B10,"!!! WARNUNG !!!","")</f>
        <v>!!! WARNUNG !!!</v>
      </c>
      <c r="E13" s="107"/>
      <c r="F13" s="107"/>
      <c r="G13" s="107"/>
      <c r="H13" s="29"/>
      <c r="I13" s="29"/>
      <c r="J13" s="29"/>
    </row>
    <row r="14" spans="1:10" ht="20.100000000000001" customHeight="1" x14ac:dyDescent="0.25">
      <c r="A14" s="29" t="s">
        <v>122</v>
      </c>
      <c r="B14" s="11">
        <f>B13+B6</f>
        <v>0.8</v>
      </c>
      <c r="C14" s="29" t="s">
        <v>9</v>
      </c>
      <c r="D14" s="3"/>
      <c r="E14" s="107"/>
      <c r="F14" s="107"/>
      <c r="G14" s="107"/>
      <c r="H14" s="29"/>
      <c r="I14" s="29"/>
      <c r="J14" s="29"/>
    </row>
    <row r="15" spans="1:10" ht="20.100000000000001" customHeight="1" x14ac:dyDescent="0.25">
      <c r="A15" s="29" t="s">
        <v>18</v>
      </c>
      <c r="B15" s="6">
        <v>3</v>
      </c>
      <c r="C15" s="29" t="s">
        <v>9</v>
      </c>
      <c r="D15" s="3" t="s">
        <v>4</v>
      </c>
      <c r="E15" s="3"/>
      <c r="F15" s="3"/>
      <c r="G15" s="3"/>
      <c r="H15" s="29"/>
      <c r="I15" s="29"/>
      <c r="J15" s="29"/>
    </row>
    <row r="16" spans="1:10" ht="20.100000000000001" customHeight="1" x14ac:dyDescent="0.25">
      <c r="A16" s="29" t="s">
        <v>19</v>
      </c>
      <c r="B16" s="6">
        <v>2</v>
      </c>
      <c r="C16" s="29" t="s">
        <v>9</v>
      </c>
      <c r="D16" s="71" t="str">
        <f>IF(B16&lt;E16,"!!! WARNUNG !!!","")</f>
        <v/>
      </c>
      <c r="E16" s="75">
        <f>B15/3*2</f>
        <v>2</v>
      </c>
      <c r="F16" s="3" t="s">
        <v>98</v>
      </c>
      <c r="G16" s="3"/>
      <c r="H16" s="29"/>
      <c r="I16" s="29"/>
      <c r="J16" s="40"/>
    </row>
    <row r="17" spans="1:17" ht="20.100000000000001" customHeight="1" x14ac:dyDescent="0.25">
      <c r="A17" s="27" t="s">
        <v>20</v>
      </c>
      <c r="B17" s="12">
        <v>0.1</v>
      </c>
      <c r="C17" s="27" t="s">
        <v>9</v>
      </c>
      <c r="D17" s="37" t="s">
        <v>92</v>
      </c>
      <c r="E17" s="37"/>
      <c r="F17" s="37"/>
      <c r="G17" s="37"/>
      <c r="H17" s="3"/>
      <c r="I17" s="29"/>
      <c r="J17" s="41"/>
    </row>
    <row r="18" spans="1:17" ht="20.100000000000001" customHeight="1" x14ac:dyDescent="0.25">
      <c r="A18" s="30" t="s">
        <v>33</v>
      </c>
      <c r="B18" s="39"/>
      <c r="C18" s="39"/>
      <c r="D18" s="39"/>
      <c r="E18" s="39"/>
      <c r="F18" s="39"/>
      <c r="G18" s="39"/>
      <c r="H18" s="3"/>
      <c r="I18" s="3"/>
      <c r="J18" s="41"/>
    </row>
    <row r="19" spans="1:17" ht="20.100000000000001" customHeight="1" x14ac:dyDescent="0.25">
      <c r="A19" s="29" t="s">
        <v>30</v>
      </c>
      <c r="B19" s="2">
        <f>B13/B14</f>
        <v>0.77499999999999991</v>
      </c>
      <c r="C19" s="3" t="s">
        <v>11</v>
      </c>
      <c r="D19" s="3"/>
      <c r="E19" s="3"/>
      <c r="F19" s="3"/>
      <c r="G19" s="3"/>
      <c r="H19" s="3"/>
      <c r="I19" s="3"/>
      <c r="J19" s="42"/>
    </row>
    <row r="20" spans="1:17" ht="20.100000000000001" customHeight="1" x14ac:dyDescent="0.25">
      <c r="A20" s="29" t="s">
        <v>41</v>
      </c>
      <c r="B20" s="2">
        <f>-3.469*B19^3+5.703*B19^2-3.266*B19+1.23</f>
        <v>0.50944907812499984</v>
      </c>
      <c r="C20" s="3" t="s">
        <v>11</v>
      </c>
      <c r="D20" s="3" t="s">
        <v>31</v>
      </c>
      <c r="E20" s="3"/>
      <c r="F20" s="3"/>
      <c r="G20" s="3"/>
      <c r="H20" s="3"/>
      <c r="I20" s="3"/>
      <c r="J20" s="3"/>
    </row>
    <row r="21" spans="1:17" ht="20.100000000000001" customHeight="1" x14ac:dyDescent="0.25">
      <c r="A21" s="76" t="s">
        <v>94</v>
      </c>
      <c r="B21" s="77">
        <f>2/3*B20*B12*SQRT(2*B34)*(B14^(3/2))</f>
        <v>0.31217060175228267</v>
      </c>
      <c r="C21" s="76" t="s">
        <v>32</v>
      </c>
      <c r="D21" s="4">
        <f>B21*1000</f>
        <v>312.17060175228266</v>
      </c>
      <c r="E21" s="5" t="s">
        <v>1</v>
      </c>
      <c r="F21" s="37"/>
      <c r="G21" s="37"/>
      <c r="H21" s="3"/>
      <c r="I21" s="3"/>
      <c r="J21" s="3"/>
    </row>
    <row r="22" spans="1:17" ht="20.100000000000001" customHeight="1" x14ac:dyDescent="0.25">
      <c r="A22" s="30" t="s">
        <v>0</v>
      </c>
      <c r="B22" s="39"/>
      <c r="C22" s="39"/>
      <c r="D22" s="39"/>
      <c r="E22" s="39"/>
      <c r="F22" s="39"/>
      <c r="G22" s="39"/>
      <c r="H22" s="29"/>
      <c r="I22" s="3"/>
      <c r="J22" s="3"/>
    </row>
    <row r="23" spans="1:17" ht="20.100000000000001" customHeight="1" x14ac:dyDescent="0.25">
      <c r="A23" s="29" t="s">
        <v>36</v>
      </c>
      <c r="B23" s="2">
        <f>(B10+B11)/2</f>
        <v>0.89</v>
      </c>
      <c r="C23" s="29" t="s">
        <v>9</v>
      </c>
      <c r="D23" s="3"/>
      <c r="E23" s="3"/>
      <c r="F23" s="3"/>
      <c r="G23" s="3"/>
      <c r="H23" s="3"/>
      <c r="I23" s="42"/>
      <c r="J23" s="3"/>
    </row>
    <row r="24" spans="1:17" ht="20.100000000000001" customHeight="1" x14ac:dyDescent="0.25">
      <c r="A24" s="44" t="s">
        <v>42</v>
      </c>
      <c r="B24" s="96">
        <f>(B33*B34*B6*B21)/(B16*B23*(B15-B17))</f>
        <v>106.7862937958506</v>
      </c>
      <c r="C24" s="44" t="s">
        <v>37</v>
      </c>
      <c r="D24" s="3" t="s">
        <v>4</v>
      </c>
      <c r="E24" s="29"/>
      <c r="F24" s="3"/>
      <c r="G24" s="3"/>
      <c r="H24" s="3"/>
      <c r="I24" s="29"/>
      <c r="J24" s="43"/>
    </row>
    <row r="25" spans="1:17" ht="20.100000000000001" customHeight="1" x14ac:dyDescent="0.25">
      <c r="A25" s="29" t="s">
        <v>38</v>
      </c>
      <c r="B25" s="13">
        <f>(B21^2/(B33*(B12^2)))^(1/3)</f>
        <v>0.1050338623326396</v>
      </c>
      <c r="C25" s="3" t="s">
        <v>9</v>
      </c>
      <c r="D25" s="45" t="str">
        <f>IF(B10&gt;B25,"ok","schießend")</f>
        <v>ok</v>
      </c>
      <c r="E25" s="29" t="s">
        <v>39</v>
      </c>
      <c r="F25" s="3"/>
      <c r="G25" s="3"/>
      <c r="H25" s="3"/>
      <c r="I25" s="3"/>
      <c r="J25" s="29"/>
    </row>
    <row r="26" spans="1:17" ht="20.100000000000001" customHeight="1" x14ac:dyDescent="0.25">
      <c r="A26" s="27" t="s">
        <v>99</v>
      </c>
      <c r="B26" s="1">
        <f>(B34*B25)^(1/2)</f>
        <v>1.0150774302895296</v>
      </c>
      <c r="C26" s="37" t="s">
        <v>9</v>
      </c>
      <c r="D26" s="47" t="str">
        <f>IF(B26&lt;B7,"ok","schießend")</f>
        <v>ok</v>
      </c>
      <c r="E26" s="27" t="s">
        <v>39</v>
      </c>
      <c r="F26" s="27"/>
      <c r="G26" s="27"/>
      <c r="H26" s="3"/>
      <c r="I26" s="3"/>
      <c r="J26" s="3"/>
    </row>
    <row r="27" spans="1:17" ht="24.9" customHeight="1" x14ac:dyDescent="0.25">
      <c r="A27" s="19" t="s">
        <v>89</v>
      </c>
      <c r="B27" s="20"/>
      <c r="C27" s="21"/>
      <c r="D27" s="22"/>
      <c r="E27" s="22"/>
      <c r="F27" s="21"/>
      <c r="G27" s="21"/>
      <c r="H27" s="3"/>
      <c r="I27" s="3"/>
      <c r="J27" s="3"/>
    </row>
    <row r="28" spans="1:17" ht="20.100000000000001" customHeight="1" x14ac:dyDescent="0.25">
      <c r="A28" s="17" t="s">
        <v>21</v>
      </c>
      <c r="B28" s="14">
        <f>IF(B12&lt;0.2,0.16,IF(B12&lt;0.25,0.18,IF(B12&lt;0.3,0.2,IF(B12&lt;0.35,0.25,0.3))))</f>
        <v>0.2</v>
      </c>
      <c r="C28" s="17" t="s">
        <v>9</v>
      </c>
      <c r="D28" s="23"/>
      <c r="E28" s="17"/>
      <c r="F28" s="23"/>
      <c r="G28" s="23"/>
      <c r="H28" s="3"/>
      <c r="I28" s="3"/>
      <c r="J28" s="3"/>
    </row>
    <row r="29" spans="1:17" ht="20.100000000000001" customHeight="1" x14ac:dyDescent="0.25">
      <c r="A29" s="17" t="s">
        <v>130</v>
      </c>
      <c r="B29" s="15">
        <v>30</v>
      </c>
      <c r="C29" s="17" t="s">
        <v>88</v>
      </c>
      <c r="D29" s="23" t="s">
        <v>24</v>
      </c>
      <c r="E29" s="17"/>
      <c r="F29" s="23"/>
      <c r="G29" s="23"/>
      <c r="H29" s="3"/>
      <c r="I29" s="3"/>
      <c r="J29" s="3"/>
    </row>
    <row r="30" spans="1:17" ht="20.100000000000001" customHeight="1" x14ac:dyDescent="0.25">
      <c r="A30" s="17" t="s">
        <v>22</v>
      </c>
      <c r="B30" s="14">
        <f>B12*SIN(RADIANS(B29))</f>
        <v>0.14499999999999996</v>
      </c>
      <c r="C30" s="17" t="s">
        <v>9</v>
      </c>
      <c r="D30" s="23"/>
      <c r="E30" s="17"/>
      <c r="F30" s="23"/>
      <c r="G30" s="23"/>
      <c r="H30" s="3"/>
      <c r="I30" s="3"/>
      <c r="J30" s="3"/>
    </row>
    <row r="31" spans="1:17" ht="24.9" customHeight="1" x14ac:dyDescent="0.25">
      <c r="A31" s="18" t="s">
        <v>23</v>
      </c>
      <c r="B31" s="16">
        <f>IF(B12&lt;0.2,0.16,IF(B12&lt;0.25,0.2,IF(B12&lt;0.3,0.25,IF(B12&lt;0.35,0.3,0.4))))</f>
        <v>0.25</v>
      </c>
      <c r="C31" s="18" t="s">
        <v>9</v>
      </c>
      <c r="D31" s="24"/>
      <c r="E31" s="18"/>
      <c r="F31" s="24"/>
      <c r="G31" s="24"/>
      <c r="H31" s="3"/>
      <c r="I31" s="3"/>
      <c r="J31" s="3"/>
      <c r="Q31" s="3"/>
    </row>
    <row r="32" spans="1:17" ht="20.100000000000001" customHeight="1" x14ac:dyDescent="0.25">
      <c r="A32" s="25" t="s">
        <v>90</v>
      </c>
      <c r="B32" s="21"/>
      <c r="C32" s="21"/>
      <c r="D32" s="21"/>
      <c r="E32" s="22"/>
      <c r="F32" s="22"/>
      <c r="G32" s="22"/>
      <c r="H32" s="3"/>
      <c r="I32" s="3"/>
      <c r="J32" s="3"/>
      <c r="Q32" s="3"/>
    </row>
    <row r="33" spans="1:18" ht="20.100000000000001" customHeight="1" x14ac:dyDescent="0.25">
      <c r="A33" s="23" t="s">
        <v>93</v>
      </c>
      <c r="B33" s="17">
        <v>1000</v>
      </c>
      <c r="C33" s="23" t="s">
        <v>15</v>
      </c>
      <c r="D33" s="23"/>
      <c r="E33" s="23"/>
      <c r="F33" s="17"/>
      <c r="G33" s="17"/>
      <c r="H33" s="3"/>
      <c r="I33" s="3"/>
      <c r="J33" s="3"/>
      <c r="P33" s="3"/>
      <c r="Q33" s="42"/>
      <c r="R33" s="42"/>
    </row>
    <row r="34" spans="1:18" ht="20.100000000000001" customHeight="1" x14ac:dyDescent="0.25">
      <c r="A34" s="24" t="s">
        <v>25</v>
      </c>
      <c r="B34" s="18">
        <v>9.81</v>
      </c>
      <c r="C34" s="24" t="s">
        <v>16</v>
      </c>
      <c r="D34" s="24"/>
      <c r="E34" s="24"/>
      <c r="F34" s="18"/>
      <c r="G34" s="18"/>
      <c r="H34" s="3"/>
      <c r="I34" s="3"/>
      <c r="J34" s="3"/>
      <c r="Q34" s="46"/>
      <c r="R34" s="46"/>
    </row>
    <row r="35" spans="1:18" ht="20.100000000000001" customHeight="1" x14ac:dyDescent="0.25">
      <c r="F35" s="28"/>
      <c r="G35" s="28"/>
      <c r="H35" s="3"/>
      <c r="I35" s="3"/>
      <c r="J35" s="3"/>
      <c r="Q35" s="46"/>
      <c r="R35" s="46"/>
    </row>
    <row r="36" spans="1:18" ht="24.9" customHeight="1" x14ac:dyDescent="0.25">
      <c r="F36" s="28"/>
      <c r="G36" s="28"/>
      <c r="H36" s="3"/>
      <c r="I36" s="3"/>
      <c r="J36" s="3"/>
      <c r="Q36" s="46"/>
      <c r="R36" s="46"/>
    </row>
    <row r="37" spans="1:18" ht="15" customHeight="1" x14ac:dyDescent="0.25">
      <c r="F37" s="28"/>
      <c r="G37" s="28"/>
      <c r="H37" s="3"/>
      <c r="I37" s="3"/>
      <c r="J37" s="3"/>
      <c r="Q37" s="46"/>
      <c r="R37" s="46"/>
    </row>
    <row r="38" spans="1:18" ht="15" customHeight="1" x14ac:dyDescent="0.25">
      <c r="F38" s="28"/>
      <c r="G38" s="28"/>
      <c r="H38" s="3"/>
      <c r="I38" s="3"/>
      <c r="J38" s="3"/>
      <c r="Q38" s="46"/>
      <c r="R38" s="46"/>
    </row>
    <row r="39" spans="1:18" ht="15" customHeight="1" x14ac:dyDescent="0.25">
      <c r="A39" s="28"/>
      <c r="B39" s="28"/>
      <c r="C39" s="28"/>
      <c r="D39" s="28"/>
      <c r="E39" s="28"/>
      <c r="F39" s="28"/>
      <c r="G39" s="28"/>
      <c r="H39" s="3"/>
      <c r="I39" s="3"/>
      <c r="J39" s="3"/>
      <c r="Q39" s="46"/>
      <c r="R39" s="46"/>
    </row>
    <row r="40" spans="1:18" ht="15" customHeight="1" x14ac:dyDescent="0.25">
      <c r="A40" s="28"/>
      <c r="B40" s="28"/>
      <c r="C40" s="28"/>
      <c r="D40" s="28"/>
      <c r="E40" s="28"/>
      <c r="F40" s="28"/>
      <c r="G40" s="28"/>
      <c r="H40" s="3"/>
      <c r="I40" s="3"/>
      <c r="J40" s="3"/>
      <c r="Q40" s="46"/>
      <c r="R40" s="46"/>
    </row>
    <row r="41" spans="1:18" ht="24.9" customHeight="1" x14ac:dyDescent="0.25">
      <c r="A41" s="28"/>
      <c r="B41" s="28"/>
      <c r="C41" s="28"/>
      <c r="D41" s="49"/>
      <c r="E41" s="50"/>
      <c r="F41" s="28"/>
      <c r="G41" s="28"/>
      <c r="H41" s="3"/>
      <c r="I41" s="3"/>
      <c r="J41" s="3"/>
      <c r="Q41" s="48"/>
      <c r="R41" s="48"/>
    </row>
    <row r="42" spans="1:18" ht="15" customHeight="1" x14ac:dyDescent="0.25">
      <c r="A42" s="28"/>
      <c r="B42" s="28"/>
      <c r="C42" s="28"/>
      <c r="D42" s="28"/>
      <c r="E42" s="28"/>
      <c r="F42" s="28"/>
      <c r="G42" s="28"/>
      <c r="H42" s="3"/>
      <c r="I42" s="3"/>
      <c r="J42" s="3"/>
    </row>
    <row r="43" spans="1:18" ht="15" customHeight="1" x14ac:dyDescent="0.25">
      <c r="A43" s="28"/>
      <c r="B43" s="28"/>
      <c r="C43" s="28"/>
      <c r="D43" s="28"/>
      <c r="E43" s="28"/>
      <c r="F43" s="28"/>
      <c r="G43" s="28"/>
      <c r="H43" s="29"/>
      <c r="I43" s="3"/>
      <c r="J43" s="3"/>
    </row>
    <row r="44" spans="1:18" ht="15" customHeight="1" x14ac:dyDescent="0.25">
      <c r="A44" s="28"/>
      <c r="B44" s="28"/>
      <c r="C44" s="28"/>
      <c r="D44" s="28"/>
      <c r="E44" s="28"/>
      <c r="F44" s="28"/>
      <c r="G44" s="28"/>
      <c r="H44" s="29"/>
      <c r="I44" s="3"/>
      <c r="J44" s="3"/>
    </row>
    <row r="45" spans="1:18" ht="15" customHeight="1" x14ac:dyDescent="0.25">
      <c r="A45" s="28"/>
      <c r="B45" s="28"/>
      <c r="C45" s="28"/>
      <c r="D45" s="28"/>
      <c r="E45" s="28"/>
      <c r="F45" s="28"/>
      <c r="G45" s="28"/>
      <c r="H45" s="29"/>
      <c r="I45" s="3"/>
      <c r="J45" s="3"/>
    </row>
    <row r="46" spans="1:18" ht="15" customHeight="1" x14ac:dyDescent="0.25">
      <c r="A46" s="28"/>
      <c r="B46" s="28"/>
      <c r="C46" s="28"/>
      <c r="D46" s="28"/>
      <c r="E46" s="28"/>
      <c r="F46" s="28"/>
      <c r="G46" s="28"/>
      <c r="H46" s="28"/>
      <c r="I46" s="29"/>
      <c r="J46" s="3"/>
    </row>
    <row r="47" spans="1:18" ht="15" customHeight="1" x14ac:dyDescent="0.25">
      <c r="A47" s="28"/>
      <c r="B47" s="28"/>
      <c r="C47" s="28"/>
      <c r="D47" s="28"/>
      <c r="E47" s="28"/>
      <c r="F47" s="28"/>
      <c r="G47" s="28"/>
      <c r="H47" s="28"/>
      <c r="I47" s="29"/>
      <c r="J47" s="3"/>
    </row>
    <row r="48" spans="1:18" ht="15" customHeight="1" x14ac:dyDescent="0.25">
      <c r="A48" s="28"/>
      <c r="B48" s="28"/>
      <c r="C48" s="28"/>
      <c r="D48" s="28"/>
      <c r="E48" s="28"/>
      <c r="F48" s="28"/>
      <c r="G48" s="28"/>
      <c r="H48" s="28"/>
      <c r="I48" s="29"/>
      <c r="J48" s="29"/>
      <c r="K48" s="28"/>
      <c r="L48" s="28"/>
      <c r="M48" s="28"/>
    </row>
    <row r="49" spans="1:13" ht="15" customHeight="1" x14ac:dyDescent="0.25">
      <c r="A49" s="28"/>
      <c r="B49" s="28"/>
      <c r="C49" s="28"/>
      <c r="D49" s="28"/>
      <c r="E49" s="28"/>
      <c r="F49" s="28"/>
      <c r="G49" s="28"/>
      <c r="H49" s="28"/>
      <c r="I49" s="28"/>
      <c r="J49" s="29"/>
      <c r="K49" s="28"/>
      <c r="L49" s="28"/>
      <c r="M49" s="28"/>
    </row>
    <row r="50" spans="1:13" ht="15" customHeight="1" x14ac:dyDescent="0.25">
      <c r="A50" s="28"/>
      <c r="B50" s="28"/>
      <c r="C50" s="28"/>
      <c r="D50" s="28"/>
      <c r="E50" s="28"/>
      <c r="F50" s="28"/>
      <c r="G50" s="28"/>
      <c r="H50" s="28"/>
      <c r="I50" s="28"/>
      <c r="J50" s="29"/>
      <c r="K50" s="28"/>
      <c r="L50" s="28"/>
      <c r="M50" s="28"/>
    </row>
    <row r="51" spans="1:13" ht="15" customHeight="1" x14ac:dyDescent="0.25">
      <c r="H51" s="28"/>
      <c r="I51" s="28"/>
      <c r="J51" s="28"/>
      <c r="K51" s="28"/>
      <c r="L51" s="28"/>
      <c r="M51" s="28"/>
    </row>
    <row r="52" spans="1:13" ht="15" customHeight="1" x14ac:dyDescent="0.25">
      <c r="H52" s="28"/>
      <c r="I52" s="28"/>
      <c r="J52" s="28"/>
      <c r="K52" s="28"/>
      <c r="L52" s="28"/>
      <c r="M52" s="28"/>
    </row>
    <row r="53" spans="1:13" ht="15" customHeight="1" x14ac:dyDescent="0.25">
      <c r="H53" s="28"/>
      <c r="I53" s="28"/>
      <c r="J53" s="28"/>
      <c r="K53" s="28"/>
      <c r="L53" s="28"/>
      <c r="M53" s="28"/>
    </row>
    <row r="54" spans="1:13" ht="15" customHeight="1" x14ac:dyDescent="0.25">
      <c r="B54" s="28"/>
      <c r="C54" s="28"/>
      <c r="D54" s="28"/>
      <c r="E54" s="28"/>
      <c r="F54" s="28"/>
      <c r="G54" s="28"/>
      <c r="H54" s="28"/>
      <c r="I54" s="28"/>
      <c r="J54" s="28"/>
      <c r="K54" s="28"/>
      <c r="L54" s="28"/>
      <c r="M54" s="28"/>
    </row>
    <row r="55" spans="1:13" ht="15" customHeight="1" x14ac:dyDescent="0.25">
      <c r="B55" s="28"/>
      <c r="C55" s="28"/>
      <c r="D55" s="28"/>
      <c r="E55" s="28"/>
      <c r="F55" s="28"/>
      <c r="G55" s="28"/>
      <c r="H55" s="28"/>
      <c r="I55" s="28"/>
      <c r="J55" s="28"/>
      <c r="K55" s="28"/>
      <c r="L55" s="28"/>
      <c r="M55" s="28"/>
    </row>
    <row r="56" spans="1:13" ht="15" customHeight="1" x14ac:dyDescent="0.25">
      <c r="B56" s="28"/>
      <c r="C56" s="28"/>
      <c r="D56" s="28"/>
      <c r="E56" s="28"/>
      <c r="F56" s="28"/>
      <c r="G56" s="28"/>
      <c r="H56" s="28"/>
      <c r="I56" s="28"/>
      <c r="J56" s="44"/>
      <c r="K56" s="28"/>
      <c r="L56" s="28"/>
      <c r="M56" s="28"/>
    </row>
    <row r="57" spans="1:13" ht="15" customHeight="1" x14ac:dyDescent="0.25">
      <c r="B57" s="28"/>
      <c r="C57" s="28"/>
      <c r="D57" s="28"/>
      <c r="E57" s="28"/>
      <c r="F57" s="28"/>
      <c r="G57" s="28"/>
      <c r="H57" s="28"/>
      <c r="I57" s="28"/>
      <c r="J57" s="28"/>
      <c r="K57" s="28"/>
      <c r="L57" s="28"/>
      <c r="M57" s="28"/>
    </row>
    <row r="58" spans="1:13" ht="15" customHeight="1" x14ac:dyDescent="0.25">
      <c r="B58" s="28"/>
      <c r="C58" s="28"/>
      <c r="D58" s="28"/>
      <c r="E58" s="28"/>
      <c r="F58" s="28"/>
      <c r="G58" s="28"/>
      <c r="H58" s="28"/>
      <c r="I58" s="28"/>
      <c r="J58" s="28"/>
      <c r="K58" s="28"/>
      <c r="L58" s="28"/>
      <c r="M58" s="28"/>
    </row>
    <row r="59" spans="1:13" ht="15" customHeight="1" x14ac:dyDescent="0.25">
      <c r="B59" s="28"/>
      <c r="C59" s="28"/>
      <c r="D59" s="28"/>
      <c r="E59" s="28"/>
      <c r="F59" s="28"/>
      <c r="G59" s="53"/>
      <c r="H59" s="28"/>
      <c r="I59" s="28"/>
      <c r="J59" s="28"/>
      <c r="K59" s="28"/>
      <c r="L59" s="28"/>
      <c r="M59" s="28"/>
    </row>
    <row r="60" spans="1:13" ht="15" customHeight="1" x14ac:dyDescent="0.25">
      <c r="B60" s="28"/>
      <c r="C60" s="28"/>
      <c r="D60" s="28"/>
      <c r="E60" s="28"/>
      <c r="F60" s="28"/>
      <c r="G60" s="28"/>
      <c r="H60" s="28"/>
      <c r="I60" s="28"/>
      <c r="J60" s="28"/>
      <c r="K60" s="28"/>
      <c r="L60" s="28"/>
      <c r="M60" s="28"/>
    </row>
    <row r="61" spans="1:13" ht="15" customHeight="1" x14ac:dyDescent="0.25">
      <c r="B61" s="28"/>
      <c r="C61" s="28"/>
      <c r="D61" s="28"/>
      <c r="E61" s="28"/>
      <c r="F61" s="28"/>
      <c r="G61" s="28"/>
      <c r="H61" s="28"/>
      <c r="I61" s="28"/>
      <c r="J61" s="44"/>
      <c r="K61" s="51"/>
      <c r="L61" s="28"/>
      <c r="M61" s="28"/>
    </row>
    <row r="62" spans="1:13" ht="15" customHeight="1" x14ac:dyDescent="0.25">
      <c r="B62" s="28"/>
      <c r="C62" s="28"/>
      <c r="D62" s="28"/>
      <c r="E62" s="28"/>
      <c r="F62" s="28"/>
      <c r="G62" s="28"/>
      <c r="H62" s="28"/>
      <c r="I62" s="28"/>
      <c r="J62" s="28"/>
      <c r="K62" s="28"/>
      <c r="L62" s="28"/>
      <c r="M62" s="28"/>
    </row>
    <row r="63" spans="1:13" ht="15" customHeight="1" x14ac:dyDescent="0.25">
      <c r="B63" s="28"/>
      <c r="C63" s="28"/>
      <c r="D63" s="28"/>
      <c r="E63" s="28"/>
      <c r="F63" s="28"/>
      <c r="G63" s="28"/>
      <c r="H63" s="28"/>
      <c r="I63" s="28"/>
      <c r="J63" s="28"/>
      <c r="K63" s="28"/>
      <c r="L63" s="28"/>
      <c r="M63" s="28"/>
    </row>
    <row r="64" spans="1:13" ht="15" customHeight="1" x14ac:dyDescent="0.25">
      <c r="I64" s="28"/>
      <c r="J64" s="28"/>
      <c r="K64" s="28"/>
      <c r="L64" s="28"/>
      <c r="M64" s="28"/>
    </row>
    <row r="65" spans="8:17" ht="15" customHeight="1" x14ac:dyDescent="0.25">
      <c r="I65" s="28"/>
      <c r="J65" s="28"/>
      <c r="K65" s="28"/>
      <c r="L65" s="28"/>
      <c r="M65" s="28"/>
    </row>
    <row r="66" spans="8:17" ht="15" customHeight="1" x14ac:dyDescent="0.25">
      <c r="I66" s="28"/>
      <c r="J66" s="28"/>
      <c r="K66" s="28"/>
      <c r="L66" s="28"/>
      <c r="M66" s="28"/>
    </row>
    <row r="67" spans="8:17" ht="15" customHeight="1" x14ac:dyDescent="0.25">
      <c r="H67" s="28"/>
      <c r="J67" s="28"/>
      <c r="K67" s="28"/>
      <c r="L67" s="28"/>
      <c r="M67" s="28"/>
      <c r="Q67" s="52"/>
    </row>
    <row r="68" spans="8:17" ht="15" customHeight="1" x14ac:dyDescent="0.25">
      <c r="H68" s="28"/>
      <c r="J68" s="28"/>
      <c r="K68" s="28"/>
      <c r="L68" s="28"/>
      <c r="M68" s="28"/>
    </row>
    <row r="69" spans="8:17" ht="15" customHeight="1" x14ac:dyDescent="0.25">
      <c r="H69" s="28"/>
    </row>
    <row r="70" spans="8:17" ht="15" customHeight="1" x14ac:dyDescent="0.25">
      <c r="H70" s="28"/>
    </row>
    <row r="71" spans="8:17" ht="15" customHeight="1" x14ac:dyDescent="0.25">
      <c r="H71" s="28"/>
    </row>
    <row r="72" spans="8:17" ht="15" customHeight="1" x14ac:dyDescent="0.25">
      <c r="H72" s="28"/>
    </row>
    <row r="73" spans="8:17" ht="15" customHeight="1" x14ac:dyDescent="0.25">
      <c r="H73" s="28"/>
    </row>
    <row r="74" spans="8:17" ht="15" customHeight="1" x14ac:dyDescent="0.25">
      <c r="H74" s="28"/>
    </row>
    <row r="75" spans="8:17" ht="15" customHeight="1" x14ac:dyDescent="0.25">
      <c r="H75" s="28"/>
      <c r="J75" s="54"/>
    </row>
    <row r="76" spans="8:17" ht="15" customHeight="1" x14ac:dyDescent="0.25">
      <c r="H76" s="28"/>
      <c r="J76" s="54"/>
    </row>
    <row r="77" spans="8:17" ht="15" customHeight="1" x14ac:dyDescent="0.25">
      <c r="J77" s="54"/>
    </row>
    <row r="78" spans="8:17" ht="15" customHeight="1" x14ac:dyDescent="0.25">
      <c r="J78" s="54"/>
    </row>
    <row r="79" spans="8:17" ht="15" customHeight="1" x14ac:dyDescent="0.25">
      <c r="J79" s="54"/>
    </row>
    <row r="80" spans="8:17" ht="15" customHeight="1" x14ac:dyDescent="0.25">
      <c r="J80" s="54"/>
    </row>
    <row r="81" spans="10:10" ht="15" customHeight="1" x14ac:dyDescent="0.25">
      <c r="J81" s="54"/>
    </row>
    <row r="82" spans="10:10" ht="15" customHeight="1" x14ac:dyDescent="0.25">
      <c r="J82" s="54"/>
    </row>
  </sheetData>
  <sheetProtection password="DDF1" sheet="1" objects="1" selectLockedCells="1"/>
  <pageMargins left="0.78740157480314965" right="0.78740157480314965" top="0.98425196850393704" bottom="0.98425196850393704" header="0.51181102362204722" footer="0.51181102362204722"/>
  <pageSetup paperSize="9" scale="71"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4"/>
  <sheetViews>
    <sheetView topLeftCell="A8" zoomScale="85" zoomScaleNormal="85" workbookViewId="0">
      <selection activeCell="B34" sqref="B34"/>
    </sheetView>
  </sheetViews>
  <sheetFormatPr baseColWidth="10" defaultColWidth="11.44140625" defaultRowHeight="20.100000000000001" customHeight="1" x14ac:dyDescent="0.25"/>
  <cols>
    <col min="1" max="1" width="44.6640625" style="57" bestFit="1" customWidth="1"/>
    <col min="2" max="2" width="8.6640625" style="59" customWidth="1"/>
    <col min="3" max="3" width="8.6640625" style="57" customWidth="1"/>
    <col min="4" max="7" width="11.44140625" style="57"/>
    <col min="8" max="8" width="11.44140625" style="59"/>
    <col min="9" max="9" width="8.5546875" style="59" customWidth="1"/>
    <col min="10" max="16384" width="11.44140625" style="59"/>
  </cols>
  <sheetData>
    <row r="1" spans="1:10" s="57" customFormat="1" ht="24.9" customHeight="1" x14ac:dyDescent="0.25">
      <c r="A1" s="26" t="s">
        <v>125</v>
      </c>
      <c r="B1" s="78"/>
      <c r="C1" s="27"/>
      <c r="D1" s="27"/>
      <c r="E1" s="27"/>
      <c r="F1" s="27"/>
      <c r="G1" s="27"/>
      <c r="H1" s="79"/>
      <c r="I1" s="27"/>
      <c r="J1" s="29"/>
    </row>
    <row r="2" spans="1:10" s="57" customFormat="1" ht="20.100000000000001" customHeight="1" x14ac:dyDescent="0.25">
      <c r="A2" s="30" t="s">
        <v>43</v>
      </c>
      <c r="B2" s="80"/>
      <c r="C2" s="31"/>
      <c r="D2" s="31"/>
      <c r="E2" s="31"/>
      <c r="F2" s="31"/>
      <c r="G2" s="31"/>
      <c r="H2" s="31"/>
      <c r="I2" s="31"/>
      <c r="J2" s="29"/>
    </row>
    <row r="3" spans="1:10" s="57" customFormat="1" ht="20.100000000000001" customHeight="1" x14ac:dyDescent="0.25">
      <c r="A3" s="29" t="s">
        <v>87</v>
      </c>
      <c r="B3" s="32"/>
      <c r="C3" s="29"/>
      <c r="D3" s="29" t="s">
        <v>127</v>
      </c>
      <c r="E3" s="29"/>
      <c r="F3" s="29"/>
      <c r="G3" s="29"/>
      <c r="H3" s="29"/>
      <c r="I3" s="29"/>
      <c r="J3" s="29"/>
    </row>
    <row r="4" spans="1:10" s="57" customFormat="1" ht="20.100000000000001" customHeight="1" x14ac:dyDescent="0.25">
      <c r="A4" s="27" t="s">
        <v>95</v>
      </c>
      <c r="B4" s="33"/>
      <c r="C4" s="27"/>
      <c r="D4" s="27"/>
      <c r="E4" s="27"/>
      <c r="F4" s="27"/>
      <c r="G4" s="27"/>
      <c r="H4" s="79"/>
      <c r="I4" s="27"/>
      <c r="J4" s="29"/>
    </row>
    <row r="5" spans="1:10" s="57" customFormat="1" ht="24.9" customHeight="1" x14ac:dyDescent="0.25">
      <c r="A5" s="30" t="s">
        <v>34</v>
      </c>
      <c r="B5" s="80"/>
      <c r="C5" s="31"/>
      <c r="D5" s="31"/>
      <c r="E5" s="31"/>
      <c r="F5" s="31"/>
      <c r="G5" s="31"/>
      <c r="H5" s="81"/>
      <c r="I5" s="31"/>
      <c r="J5" s="29"/>
    </row>
    <row r="6" spans="1:10" ht="20.100000000000001" customHeight="1" x14ac:dyDescent="0.25">
      <c r="A6" s="29" t="s">
        <v>5</v>
      </c>
      <c r="B6" s="58">
        <v>2</v>
      </c>
      <c r="C6" s="29" t="s">
        <v>6</v>
      </c>
      <c r="D6" s="3" t="s">
        <v>129</v>
      </c>
      <c r="E6" s="29"/>
      <c r="F6" s="29"/>
      <c r="G6" s="29"/>
      <c r="H6" s="29"/>
      <c r="I6" s="29"/>
      <c r="J6" s="56"/>
    </row>
    <row r="7" spans="1:10" ht="20.100000000000001" customHeight="1" x14ac:dyDescent="0.25">
      <c r="A7" s="29" t="s">
        <v>7</v>
      </c>
      <c r="B7" s="58">
        <v>1</v>
      </c>
      <c r="C7" s="29" t="s">
        <v>6</v>
      </c>
      <c r="D7" s="3" t="s">
        <v>129</v>
      </c>
      <c r="E7" s="29"/>
      <c r="F7" s="29"/>
      <c r="G7" s="29"/>
      <c r="H7" s="29"/>
      <c r="I7" s="29"/>
      <c r="J7" s="35"/>
    </row>
    <row r="8" spans="1:10" ht="20.100000000000001" customHeight="1" x14ac:dyDescent="0.25">
      <c r="A8" s="29" t="s">
        <v>8</v>
      </c>
      <c r="B8" s="60">
        <f>B6-B7</f>
        <v>1</v>
      </c>
      <c r="C8" s="29" t="s">
        <v>9</v>
      </c>
      <c r="D8" s="29"/>
      <c r="E8" s="29"/>
      <c r="F8" s="29"/>
      <c r="G8" s="29"/>
      <c r="H8" s="29"/>
      <c r="I8" s="29"/>
      <c r="J8" s="35"/>
    </row>
    <row r="9" spans="1:10" ht="20.100000000000001" customHeight="1" x14ac:dyDescent="0.25">
      <c r="A9" s="29" t="s">
        <v>10</v>
      </c>
      <c r="B9" s="58">
        <v>0.15</v>
      </c>
      <c r="C9" s="29" t="s">
        <v>9</v>
      </c>
      <c r="D9" s="29"/>
      <c r="E9" s="29"/>
      <c r="F9" s="29"/>
      <c r="G9" s="29"/>
      <c r="H9" s="29"/>
      <c r="I9" s="29"/>
      <c r="J9" s="35"/>
    </row>
    <row r="10" spans="1:10" ht="20.100000000000001" customHeight="1" x14ac:dyDescent="0.25">
      <c r="A10" s="29" t="s">
        <v>13</v>
      </c>
      <c r="B10" s="9">
        <f>IF(MOD(B8,B9)&gt;B9/3,ROUNDDOWN(B8/B9-1,0)+1,ROUND(B8/B9-1,0))</f>
        <v>6</v>
      </c>
      <c r="C10" s="29" t="s">
        <v>11</v>
      </c>
      <c r="D10" s="3" t="s">
        <v>131</v>
      </c>
      <c r="E10" s="106"/>
      <c r="F10" s="29"/>
      <c r="G10" s="29"/>
      <c r="H10" s="29"/>
      <c r="I10" s="29"/>
      <c r="J10" s="36"/>
    </row>
    <row r="11" spans="1:10" ht="20.100000000000001" customHeight="1" x14ac:dyDescent="0.25">
      <c r="A11" s="29" t="s">
        <v>45</v>
      </c>
      <c r="B11" s="9">
        <f>IF(MOD(B8,B9)&gt;B9/3,ROUNDDOWN(B8/B9,0)+1,ROUND(B8/B9,0))</f>
        <v>7</v>
      </c>
      <c r="C11" s="29" t="s">
        <v>11</v>
      </c>
      <c r="D11" s="3" t="s">
        <v>132</v>
      </c>
      <c r="E11" s="104"/>
      <c r="F11" s="29"/>
      <c r="G11" s="29"/>
      <c r="H11" s="29"/>
      <c r="I11" s="29"/>
      <c r="J11" s="56"/>
    </row>
    <row r="12" spans="1:10" ht="20.100000000000001" customHeight="1" x14ac:dyDescent="0.25">
      <c r="A12" s="29" t="s">
        <v>40</v>
      </c>
      <c r="B12" s="97">
        <f>B8/B11</f>
        <v>0.14285714285714285</v>
      </c>
      <c r="C12" s="29" t="s">
        <v>9</v>
      </c>
      <c r="D12" s="29"/>
      <c r="E12" s="29"/>
      <c r="F12" s="29"/>
      <c r="G12" s="29"/>
      <c r="H12" s="29"/>
      <c r="I12" s="29"/>
      <c r="J12" s="56"/>
    </row>
    <row r="13" spans="1:10" ht="20.100000000000001" customHeight="1" x14ac:dyDescent="0.25">
      <c r="A13" s="27" t="s">
        <v>44</v>
      </c>
      <c r="B13" s="98">
        <f>SQRT(2*9.81*B12)</f>
        <v>1.6741735701106808</v>
      </c>
      <c r="C13" s="27" t="s">
        <v>12</v>
      </c>
      <c r="D13" s="27" t="s">
        <v>4</v>
      </c>
      <c r="E13" s="27"/>
      <c r="F13" s="27"/>
      <c r="G13" s="27"/>
      <c r="H13" s="27"/>
      <c r="I13" s="27"/>
      <c r="J13" s="40"/>
    </row>
    <row r="14" spans="1:10" ht="24.9" customHeight="1" x14ac:dyDescent="0.25">
      <c r="A14" s="30" t="s">
        <v>35</v>
      </c>
      <c r="B14" s="82"/>
      <c r="C14" s="31"/>
      <c r="D14" s="31"/>
      <c r="E14" s="31"/>
      <c r="F14" s="31"/>
      <c r="G14" s="31"/>
      <c r="H14" s="39"/>
      <c r="I14" s="39"/>
      <c r="J14" s="41"/>
    </row>
    <row r="15" spans="1:10" ht="20.100000000000001" customHeight="1" x14ac:dyDescent="0.25">
      <c r="A15" s="29" t="s">
        <v>28</v>
      </c>
      <c r="B15" s="58">
        <v>1</v>
      </c>
      <c r="C15" s="29" t="s">
        <v>9</v>
      </c>
      <c r="D15" s="83"/>
      <c r="E15" s="29"/>
      <c r="F15" s="29"/>
      <c r="G15" s="29"/>
      <c r="H15" s="3"/>
      <c r="I15" s="3"/>
      <c r="J15" s="41"/>
    </row>
    <row r="16" spans="1:10" ht="20.100000000000001" customHeight="1" x14ac:dyDescent="0.25">
      <c r="A16" s="29" t="s">
        <v>29</v>
      </c>
      <c r="B16" s="58">
        <v>2</v>
      </c>
      <c r="C16" s="29" t="s">
        <v>9</v>
      </c>
      <c r="D16" s="29" t="s">
        <v>133</v>
      </c>
      <c r="E16" s="29"/>
      <c r="F16" s="29"/>
      <c r="G16" s="29"/>
      <c r="H16" s="3"/>
      <c r="I16" s="3"/>
      <c r="J16" s="42"/>
    </row>
    <row r="17" spans="1:18" ht="20.100000000000001" customHeight="1" x14ac:dyDescent="0.25">
      <c r="A17" s="29" t="s">
        <v>26</v>
      </c>
      <c r="B17" s="62">
        <f>B10*B26+B15+B16</f>
        <v>18</v>
      </c>
      <c r="C17" s="29" t="s">
        <v>9</v>
      </c>
      <c r="D17" s="29"/>
      <c r="E17" s="29"/>
      <c r="F17" s="29"/>
      <c r="G17" s="29"/>
      <c r="H17" s="3"/>
      <c r="I17" s="3"/>
      <c r="J17" s="61"/>
    </row>
    <row r="18" spans="1:18" ht="20.100000000000001" customHeight="1" x14ac:dyDescent="0.25">
      <c r="A18" s="29" t="s">
        <v>3</v>
      </c>
      <c r="B18" s="63">
        <f>B12/B26*100</f>
        <v>5.7142857142857144</v>
      </c>
      <c r="C18" s="29" t="s">
        <v>27</v>
      </c>
      <c r="D18" s="29"/>
      <c r="E18" s="29"/>
      <c r="F18" s="29"/>
      <c r="G18" s="29"/>
      <c r="H18" s="3"/>
      <c r="I18" s="3"/>
      <c r="J18" s="3"/>
    </row>
    <row r="19" spans="1:18" ht="20.100000000000001" customHeight="1" x14ac:dyDescent="0.25">
      <c r="A19" s="29" t="s">
        <v>46</v>
      </c>
      <c r="B19" s="58">
        <v>0.5</v>
      </c>
      <c r="C19" s="29" t="s">
        <v>9</v>
      </c>
      <c r="D19" s="29" t="s">
        <v>4</v>
      </c>
      <c r="E19" s="29"/>
      <c r="F19" s="29"/>
      <c r="G19" s="29"/>
      <c r="H19" s="29"/>
      <c r="I19" s="29"/>
      <c r="J19" s="3"/>
      <c r="R19" s="61"/>
    </row>
    <row r="20" spans="1:18" ht="20.100000000000001" customHeight="1" x14ac:dyDescent="0.25">
      <c r="A20" s="29" t="s">
        <v>47</v>
      </c>
      <c r="B20" s="99">
        <f>B19*2/3</f>
        <v>0.33333333333333331</v>
      </c>
      <c r="C20" s="29" t="s">
        <v>9</v>
      </c>
      <c r="D20" s="29" t="s">
        <v>111</v>
      </c>
      <c r="E20" s="29"/>
      <c r="F20" s="29"/>
      <c r="G20" s="29"/>
      <c r="H20" s="3"/>
      <c r="I20" s="3"/>
      <c r="J20" s="3"/>
    </row>
    <row r="21" spans="1:18" ht="20.100000000000001" customHeight="1" x14ac:dyDescent="0.25">
      <c r="A21" s="29" t="s">
        <v>48</v>
      </c>
      <c r="B21" s="64">
        <f>B20-B12</f>
        <v>0.19047619047619047</v>
      </c>
      <c r="C21" s="29" t="s">
        <v>9</v>
      </c>
      <c r="D21" s="29"/>
      <c r="E21" s="29"/>
      <c r="F21" s="29"/>
      <c r="G21" s="29"/>
      <c r="H21" s="3"/>
      <c r="I21" s="3"/>
      <c r="J21" s="43"/>
    </row>
    <row r="22" spans="1:18" ht="20.100000000000001" customHeight="1" x14ac:dyDescent="0.25">
      <c r="A22" s="29" t="s">
        <v>100</v>
      </c>
      <c r="B22" s="58">
        <v>0.14000000000000001</v>
      </c>
      <c r="C22" s="29" t="s">
        <v>9</v>
      </c>
      <c r="D22" s="29" t="s">
        <v>101</v>
      </c>
      <c r="E22" s="29"/>
      <c r="F22" s="29"/>
      <c r="G22" s="29"/>
      <c r="H22" s="3"/>
      <c r="I22" s="3"/>
      <c r="J22" s="29"/>
    </row>
    <row r="23" spans="1:18" ht="20.100000000000001" customHeight="1" x14ac:dyDescent="0.25">
      <c r="A23" s="29" t="s">
        <v>102</v>
      </c>
      <c r="B23" s="64">
        <f>B22*2</f>
        <v>0.28000000000000003</v>
      </c>
      <c r="C23" s="29" t="s">
        <v>9</v>
      </c>
      <c r="D23" s="29" t="s">
        <v>49</v>
      </c>
      <c r="E23" s="29"/>
      <c r="F23" s="29"/>
      <c r="G23" s="29"/>
      <c r="H23" s="3"/>
      <c r="I23" s="3"/>
      <c r="J23" s="61"/>
    </row>
    <row r="24" spans="1:18" ht="20.100000000000001" customHeight="1" x14ac:dyDescent="0.25">
      <c r="A24" s="29" t="s">
        <v>103</v>
      </c>
      <c r="B24" s="58">
        <v>2</v>
      </c>
      <c r="C24" s="29" t="s">
        <v>9</v>
      </c>
      <c r="D24" s="29" t="s">
        <v>4</v>
      </c>
      <c r="E24" s="29"/>
      <c r="F24" s="29"/>
      <c r="G24" s="29"/>
      <c r="H24" s="3"/>
      <c r="I24" s="3"/>
      <c r="J24" s="61"/>
    </row>
    <row r="25" spans="1:18" ht="20.100000000000001" customHeight="1" x14ac:dyDescent="0.25">
      <c r="A25" s="29" t="s">
        <v>50</v>
      </c>
      <c r="B25" s="58">
        <v>0.5</v>
      </c>
      <c r="C25" s="29" t="s">
        <v>9</v>
      </c>
      <c r="D25" s="29" t="s">
        <v>51</v>
      </c>
      <c r="E25" s="29"/>
      <c r="F25" s="29"/>
      <c r="G25" s="29"/>
      <c r="H25" s="3"/>
      <c r="I25" s="3"/>
      <c r="J25" s="61"/>
    </row>
    <row r="26" spans="1:18" ht="20.100000000000001" customHeight="1" x14ac:dyDescent="0.25">
      <c r="A26" s="29" t="s">
        <v>86</v>
      </c>
      <c r="B26" s="64">
        <f>B24+B25</f>
        <v>2.5</v>
      </c>
      <c r="C26" s="29" t="s">
        <v>9</v>
      </c>
      <c r="D26" s="29"/>
      <c r="E26" s="29"/>
      <c r="F26" s="29"/>
      <c r="G26" s="29"/>
      <c r="H26" s="3"/>
      <c r="I26" s="3"/>
      <c r="J26" s="61"/>
    </row>
    <row r="27" spans="1:18" ht="20.100000000000001" customHeight="1" x14ac:dyDescent="0.25">
      <c r="A27" s="29" t="s">
        <v>19</v>
      </c>
      <c r="B27" s="64">
        <f>B24/3*2</f>
        <v>1.3333333333333333</v>
      </c>
      <c r="C27" s="29" t="s">
        <v>9</v>
      </c>
      <c r="D27" s="29" t="s">
        <v>104</v>
      </c>
      <c r="E27" s="29"/>
      <c r="F27" s="29"/>
      <c r="G27" s="29"/>
      <c r="H27" s="3"/>
      <c r="I27" s="3"/>
      <c r="J27" s="61"/>
    </row>
    <row r="28" spans="1:18" ht="20.100000000000001" customHeight="1" x14ac:dyDescent="0.25">
      <c r="A28" s="29" t="s">
        <v>53</v>
      </c>
      <c r="B28" s="65">
        <v>2</v>
      </c>
      <c r="C28" s="29" t="s">
        <v>11</v>
      </c>
      <c r="D28" s="29" t="s">
        <v>105</v>
      </c>
      <c r="E28" s="29"/>
      <c r="F28" s="29"/>
      <c r="G28" s="29"/>
      <c r="H28" s="3"/>
      <c r="I28" s="3"/>
      <c r="J28" s="61"/>
    </row>
    <row r="29" spans="1:18" ht="20.100000000000001" customHeight="1" x14ac:dyDescent="0.25">
      <c r="A29" s="29" t="s">
        <v>52</v>
      </c>
      <c r="B29" s="65">
        <v>3</v>
      </c>
      <c r="C29" s="29" t="s">
        <v>11</v>
      </c>
      <c r="D29" s="29" t="s">
        <v>106</v>
      </c>
      <c r="E29" s="29"/>
      <c r="F29" s="29"/>
      <c r="G29" s="29"/>
      <c r="H29" s="3"/>
      <c r="I29" s="3"/>
      <c r="J29" s="61"/>
    </row>
    <row r="30" spans="1:18" ht="20.100000000000001" customHeight="1" x14ac:dyDescent="0.25">
      <c r="A30" s="27" t="s">
        <v>58</v>
      </c>
      <c r="B30" s="84">
        <f>B28/B29</f>
        <v>0.66666666666666663</v>
      </c>
      <c r="C30" s="27" t="s">
        <v>11</v>
      </c>
      <c r="D30" s="27"/>
      <c r="E30" s="27"/>
      <c r="F30" s="27"/>
      <c r="G30" s="27"/>
      <c r="H30" s="37"/>
      <c r="I30" s="37"/>
      <c r="J30" s="61"/>
    </row>
    <row r="31" spans="1:18" ht="24.9" customHeight="1" x14ac:dyDescent="0.25">
      <c r="A31" s="30" t="s">
        <v>33</v>
      </c>
      <c r="B31" s="85"/>
      <c r="C31" s="31"/>
      <c r="D31" s="31"/>
      <c r="E31" s="31"/>
      <c r="F31" s="31"/>
      <c r="G31" s="31"/>
      <c r="H31" s="39"/>
      <c r="I31" s="39"/>
      <c r="J31" s="61"/>
    </row>
    <row r="32" spans="1:18" ht="20.100000000000001" customHeight="1" x14ac:dyDescent="0.25">
      <c r="A32" s="29" t="s">
        <v>55</v>
      </c>
      <c r="B32" s="2">
        <f>B21/B20</f>
        <v>0.5714285714285714</v>
      </c>
      <c r="C32" s="29" t="s">
        <v>11</v>
      </c>
      <c r="D32" s="29"/>
      <c r="E32" s="29"/>
      <c r="F32" s="29"/>
      <c r="G32" s="29"/>
      <c r="H32" s="3"/>
      <c r="I32" s="3"/>
      <c r="J32" s="61"/>
    </row>
    <row r="33" spans="1:18" ht="20.100000000000001" customHeight="1" x14ac:dyDescent="0.25">
      <c r="A33" s="29" t="s">
        <v>54</v>
      </c>
      <c r="B33" s="2">
        <f>IF(B32&lt;0.7,1,-77.58*B32^3+179.5*B32^2-138.6*B32+36.69)</f>
        <v>1</v>
      </c>
      <c r="C33" s="29" t="s">
        <v>11</v>
      </c>
      <c r="D33" s="29" t="s">
        <v>56</v>
      </c>
      <c r="E33" s="29"/>
      <c r="F33" s="29"/>
      <c r="G33" s="29"/>
      <c r="H33" s="3"/>
      <c r="I33" s="3"/>
      <c r="J33" s="61"/>
      <c r="P33" s="61"/>
    </row>
    <row r="34" spans="1:18" ht="20.100000000000001" customHeight="1" x14ac:dyDescent="0.25">
      <c r="A34" s="29" t="s">
        <v>57</v>
      </c>
      <c r="B34" s="6">
        <v>0.6</v>
      </c>
      <c r="C34" s="29" t="s">
        <v>11</v>
      </c>
      <c r="D34" s="29" t="s">
        <v>107</v>
      </c>
      <c r="E34" s="29"/>
      <c r="F34" s="29"/>
      <c r="G34" s="29"/>
      <c r="H34" s="3"/>
      <c r="I34" s="3"/>
      <c r="J34" s="61"/>
    </row>
    <row r="35" spans="1:18" ht="20.100000000000001" customHeight="1" x14ac:dyDescent="0.25">
      <c r="A35" s="76" t="s">
        <v>94</v>
      </c>
      <c r="B35" s="77">
        <f>2/3*B34*B33*(B22+B23)/2*SQRT(2*B41)*(B20^(3/2))</f>
        <v>7.1605586374248784E-2</v>
      </c>
      <c r="C35" s="76" t="s">
        <v>32</v>
      </c>
      <c r="D35" s="4">
        <f>B35*1000</f>
        <v>71.605586374248787</v>
      </c>
      <c r="E35" s="5" t="s">
        <v>108</v>
      </c>
      <c r="F35" s="27"/>
      <c r="G35" s="27"/>
      <c r="H35" s="37"/>
      <c r="I35" s="37"/>
      <c r="J35" s="61"/>
      <c r="Q35" s="61"/>
    </row>
    <row r="36" spans="1:18" ht="24.9" customHeight="1" x14ac:dyDescent="0.25">
      <c r="A36" s="30" t="s">
        <v>0</v>
      </c>
      <c r="B36" s="39"/>
      <c r="C36" s="31"/>
      <c r="D36" s="31"/>
      <c r="E36" s="31"/>
      <c r="F36" s="31"/>
      <c r="G36" s="31"/>
      <c r="H36" s="39"/>
      <c r="I36" s="39"/>
      <c r="J36" s="61"/>
      <c r="Q36" s="42"/>
      <c r="R36" s="66"/>
    </row>
    <row r="37" spans="1:18" ht="20.100000000000001" customHeight="1" x14ac:dyDescent="0.25">
      <c r="A37" s="29" t="s">
        <v>59</v>
      </c>
      <c r="B37" s="2">
        <f>(B27*B19)-(B19*B19*B29/B28)</f>
        <v>0.29166666666666663</v>
      </c>
      <c r="C37" s="29" t="s">
        <v>9</v>
      </c>
      <c r="D37" s="29" t="s">
        <v>109</v>
      </c>
      <c r="E37" s="29"/>
      <c r="F37" s="29"/>
      <c r="G37" s="29"/>
      <c r="H37" s="3"/>
      <c r="I37" s="3"/>
      <c r="J37" s="61"/>
      <c r="Q37" s="46"/>
      <c r="R37" s="46"/>
    </row>
    <row r="38" spans="1:18" ht="20.100000000000001" customHeight="1" x14ac:dyDescent="0.25">
      <c r="A38" s="76" t="s">
        <v>42</v>
      </c>
      <c r="B38" s="100">
        <f>(B40*B41*B12*B35)/(B24*B27*B19/2)</f>
        <v>150.52517192815299</v>
      </c>
      <c r="C38" s="76" t="s">
        <v>37</v>
      </c>
      <c r="D38" s="27" t="s">
        <v>4</v>
      </c>
      <c r="E38" s="27"/>
      <c r="F38" s="27"/>
      <c r="G38" s="27"/>
      <c r="H38" s="37"/>
      <c r="I38" s="37"/>
      <c r="J38" s="61"/>
      <c r="Q38" s="46"/>
      <c r="R38" s="46"/>
    </row>
    <row r="39" spans="1:18" ht="24.9" customHeight="1" x14ac:dyDescent="0.25">
      <c r="A39" s="19" t="s">
        <v>90</v>
      </c>
      <c r="B39" s="86"/>
      <c r="C39" s="22"/>
      <c r="D39" s="31"/>
      <c r="E39" s="31"/>
      <c r="F39" s="31"/>
      <c r="G39" s="31"/>
      <c r="H39" s="39"/>
      <c r="I39" s="39"/>
      <c r="J39" s="61"/>
      <c r="Q39" s="46"/>
      <c r="R39" s="46"/>
    </row>
    <row r="40" spans="1:18" ht="20.100000000000001" customHeight="1" x14ac:dyDescent="0.25">
      <c r="A40" s="17" t="s">
        <v>126</v>
      </c>
      <c r="B40" s="87">
        <v>1000</v>
      </c>
      <c r="C40" s="17" t="s">
        <v>15</v>
      </c>
      <c r="D40" s="29"/>
      <c r="E40" s="29"/>
      <c r="F40" s="29"/>
      <c r="G40" s="29"/>
      <c r="H40" s="29"/>
      <c r="I40" s="29"/>
      <c r="J40" s="61"/>
      <c r="Q40" s="46"/>
      <c r="R40" s="46"/>
    </row>
    <row r="41" spans="1:18" ht="20.100000000000001" customHeight="1" x14ac:dyDescent="0.25">
      <c r="A41" s="18" t="s">
        <v>25</v>
      </c>
      <c r="B41" s="88">
        <v>9.81</v>
      </c>
      <c r="C41" s="18" t="s">
        <v>16</v>
      </c>
      <c r="D41" s="27"/>
      <c r="E41" s="27"/>
      <c r="F41" s="27"/>
      <c r="G41" s="27"/>
      <c r="H41" s="27"/>
      <c r="I41" s="27"/>
      <c r="J41" s="61"/>
      <c r="Q41" s="46"/>
      <c r="R41" s="46"/>
    </row>
    <row r="42" spans="1:18" ht="20.100000000000001" customHeight="1" x14ac:dyDescent="0.25">
      <c r="A42" s="29"/>
      <c r="B42" s="67"/>
      <c r="C42" s="56"/>
      <c r="D42" s="29"/>
      <c r="E42" s="29"/>
      <c r="F42" s="29"/>
      <c r="G42" s="29"/>
      <c r="H42" s="29"/>
      <c r="I42" s="29"/>
      <c r="J42" s="61"/>
      <c r="Q42" s="46"/>
      <c r="R42" s="46"/>
    </row>
    <row r="43" spans="1:18" ht="20.100000000000001" customHeight="1" x14ac:dyDescent="0.25">
      <c r="A43" s="28"/>
      <c r="B43" s="28"/>
      <c r="C43" s="28"/>
      <c r="D43" s="28"/>
      <c r="E43" s="28"/>
      <c r="F43" s="28"/>
      <c r="G43" s="28"/>
      <c r="H43" s="28"/>
      <c r="I43" s="28"/>
      <c r="J43" s="61"/>
      <c r="Q43" s="46"/>
      <c r="R43" s="46"/>
    </row>
    <row r="44" spans="1:18" ht="20.100000000000001" customHeight="1" x14ac:dyDescent="0.25">
      <c r="A44" s="28"/>
      <c r="B44" s="28"/>
      <c r="D44" s="28"/>
      <c r="E44" s="28"/>
      <c r="F44" s="28"/>
      <c r="G44" s="28"/>
      <c r="H44" s="28"/>
      <c r="I44" s="28"/>
      <c r="J44" s="61"/>
      <c r="Q44" s="46"/>
      <c r="R44" s="46"/>
    </row>
    <row r="45" spans="1:18" ht="20.100000000000001" customHeight="1" x14ac:dyDescent="0.25">
      <c r="A45" s="28"/>
      <c r="B45" s="28"/>
      <c r="C45" s="28"/>
      <c r="D45" s="28"/>
      <c r="E45" s="28"/>
      <c r="F45" s="28"/>
      <c r="G45" s="28"/>
      <c r="H45" s="28"/>
      <c r="I45" s="28"/>
      <c r="J45" s="61"/>
      <c r="Q45" s="68"/>
      <c r="R45" s="68"/>
    </row>
    <row r="46" spans="1:18" ht="20.100000000000001" customHeight="1" x14ac:dyDescent="0.25">
      <c r="A46" s="28"/>
      <c r="B46" s="28"/>
      <c r="C46" s="28"/>
      <c r="D46" s="28"/>
      <c r="E46" s="28"/>
      <c r="F46" s="28"/>
      <c r="G46" s="28"/>
      <c r="H46" s="28"/>
      <c r="I46" s="28"/>
      <c r="J46" s="61"/>
      <c r="Q46" s="68"/>
      <c r="R46" s="68"/>
    </row>
    <row r="47" spans="1:18" ht="20.100000000000001" customHeight="1" x14ac:dyDescent="0.25">
      <c r="A47" s="28"/>
      <c r="B47" s="28"/>
      <c r="C47" s="28"/>
      <c r="D47" s="28"/>
      <c r="E47" s="28"/>
      <c r="F47" s="28"/>
      <c r="G47" s="28"/>
      <c r="H47" s="28"/>
      <c r="I47" s="28"/>
      <c r="J47" s="61"/>
    </row>
    <row r="48" spans="1:18" ht="20.100000000000001" customHeight="1" x14ac:dyDescent="0.25">
      <c r="A48" s="28"/>
      <c r="B48" s="28"/>
      <c r="C48" s="28"/>
      <c r="D48" s="28"/>
      <c r="E48" s="28"/>
      <c r="F48" s="28"/>
      <c r="G48" s="28"/>
      <c r="H48" s="28"/>
      <c r="I48" s="28"/>
      <c r="J48" s="61"/>
    </row>
    <row r="49" spans="1:13" ht="20.100000000000001" customHeight="1" x14ac:dyDescent="0.25">
      <c r="A49" s="28"/>
      <c r="B49" s="28"/>
      <c r="C49" s="28"/>
      <c r="D49" s="28"/>
      <c r="E49" s="28"/>
      <c r="F49" s="28"/>
      <c r="G49" s="28"/>
      <c r="H49" s="28"/>
      <c r="I49" s="28"/>
      <c r="J49" s="29"/>
      <c r="K49" s="28"/>
      <c r="L49" s="28"/>
      <c r="M49" s="28"/>
    </row>
    <row r="50" spans="1:13" ht="20.100000000000001" customHeight="1" x14ac:dyDescent="0.25">
      <c r="A50" s="28"/>
      <c r="B50" s="28"/>
      <c r="C50" s="28"/>
      <c r="D50" s="28"/>
      <c r="E50" s="28"/>
      <c r="F50" s="28"/>
      <c r="G50" s="28"/>
      <c r="H50" s="28"/>
      <c r="I50" s="28"/>
      <c r="J50" s="29"/>
      <c r="K50" s="28"/>
      <c r="L50" s="28"/>
      <c r="M50" s="28"/>
    </row>
    <row r="51" spans="1:13" ht="20.100000000000001" customHeight="1" x14ac:dyDescent="0.25">
      <c r="A51" s="28"/>
      <c r="B51" s="28"/>
      <c r="C51" s="28"/>
      <c r="D51" s="69"/>
      <c r="E51" s="50"/>
      <c r="F51" s="28"/>
      <c r="G51" s="28"/>
      <c r="H51" s="28"/>
      <c r="I51" s="28"/>
      <c r="J51" s="29"/>
      <c r="K51" s="28"/>
      <c r="L51" s="28"/>
      <c r="M51" s="28"/>
    </row>
    <row r="52" spans="1:13" ht="20.100000000000001" customHeight="1" x14ac:dyDescent="0.25">
      <c r="A52" s="28"/>
      <c r="B52" s="28"/>
      <c r="C52" s="28"/>
      <c r="D52" s="28"/>
      <c r="E52" s="28"/>
      <c r="F52" s="28"/>
      <c r="G52" s="28"/>
      <c r="H52" s="28"/>
      <c r="I52" s="28"/>
      <c r="J52" s="28"/>
      <c r="K52" s="28"/>
      <c r="L52" s="28"/>
      <c r="M52" s="28"/>
    </row>
    <row r="53" spans="1:13" ht="20.100000000000001" customHeight="1" x14ac:dyDescent="0.25">
      <c r="A53" s="28"/>
      <c r="B53" s="28"/>
      <c r="C53" s="28"/>
      <c r="D53" s="28"/>
      <c r="E53" s="28"/>
      <c r="F53" s="28"/>
      <c r="G53" s="28"/>
      <c r="H53" s="28"/>
      <c r="I53" s="28"/>
      <c r="J53" s="28"/>
      <c r="K53" s="28"/>
      <c r="L53" s="28"/>
      <c r="M53" s="28"/>
    </row>
    <row r="54" spans="1:13" ht="20.100000000000001" customHeight="1" x14ac:dyDescent="0.25">
      <c r="A54" s="28"/>
      <c r="B54" s="28"/>
      <c r="C54" s="28"/>
      <c r="D54" s="28"/>
      <c r="E54" s="28"/>
      <c r="F54" s="28"/>
      <c r="G54" s="28"/>
      <c r="H54" s="28"/>
      <c r="I54" s="28"/>
      <c r="J54" s="28"/>
      <c r="K54" s="28"/>
      <c r="L54" s="28"/>
      <c r="M54" s="28"/>
    </row>
    <row r="55" spans="1:13" ht="20.100000000000001" customHeight="1" x14ac:dyDescent="0.25">
      <c r="A55" s="28"/>
      <c r="B55" s="28"/>
      <c r="C55" s="28"/>
      <c r="D55" s="28"/>
      <c r="E55" s="28"/>
      <c r="F55" s="28"/>
      <c r="G55" s="28"/>
      <c r="H55" s="28"/>
      <c r="I55" s="28"/>
      <c r="J55" s="28"/>
      <c r="K55" s="28"/>
      <c r="L55" s="28"/>
      <c r="M55" s="28"/>
    </row>
    <row r="56" spans="1:13" ht="20.100000000000001" customHeight="1" x14ac:dyDescent="0.25">
      <c r="A56" s="28"/>
      <c r="B56" s="28"/>
      <c r="C56" s="28"/>
      <c r="D56" s="28"/>
      <c r="E56" s="28"/>
      <c r="F56" s="28"/>
      <c r="G56" s="28"/>
      <c r="H56" s="28"/>
      <c r="I56" s="28"/>
      <c r="J56" s="28"/>
      <c r="K56" s="28"/>
      <c r="L56" s="28"/>
      <c r="M56" s="28"/>
    </row>
    <row r="57" spans="1:13" ht="20.100000000000001" customHeight="1" x14ac:dyDescent="0.25">
      <c r="A57" s="28"/>
      <c r="B57" s="28"/>
      <c r="C57" s="28"/>
      <c r="D57" s="28"/>
      <c r="E57" s="28"/>
      <c r="F57" s="28"/>
      <c r="G57" s="28"/>
      <c r="H57" s="28"/>
      <c r="I57" s="28"/>
      <c r="J57" s="44"/>
      <c r="K57" s="28"/>
      <c r="L57" s="28"/>
      <c r="M57" s="28"/>
    </row>
    <row r="58" spans="1:13" ht="20.100000000000001" customHeight="1" x14ac:dyDescent="0.25">
      <c r="A58" s="28"/>
      <c r="B58" s="28"/>
      <c r="C58" s="28"/>
      <c r="D58" s="28"/>
      <c r="E58" s="28"/>
      <c r="F58" s="28"/>
      <c r="G58" s="28"/>
      <c r="H58" s="28"/>
      <c r="I58" s="28"/>
      <c r="J58" s="28"/>
      <c r="K58" s="28"/>
      <c r="L58" s="28"/>
      <c r="M58" s="28"/>
    </row>
    <row r="59" spans="1:13" ht="20.100000000000001" customHeight="1" x14ac:dyDescent="0.25">
      <c r="A59" s="28"/>
      <c r="B59" s="28"/>
      <c r="C59" s="28"/>
      <c r="D59" s="28"/>
      <c r="E59" s="28"/>
      <c r="F59" s="28"/>
      <c r="G59" s="28"/>
      <c r="H59" s="28"/>
      <c r="I59" s="28"/>
      <c r="J59" s="28"/>
      <c r="K59" s="28"/>
      <c r="L59" s="28"/>
      <c r="M59" s="28"/>
    </row>
    <row r="60" spans="1:13" ht="20.100000000000001" customHeight="1" x14ac:dyDescent="0.25">
      <c r="A60" s="28"/>
      <c r="B60" s="28"/>
      <c r="C60" s="28"/>
      <c r="D60" s="28"/>
      <c r="E60" s="28"/>
      <c r="F60" s="28"/>
      <c r="G60" s="28"/>
      <c r="H60" s="28"/>
      <c r="I60" s="28"/>
      <c r="J60" s="28"/>
      <c r="K60" s="28"/>
      <c r="L60" s="28"/>
      <c r="M60" s="28"/>
    </row>
    <row r="61" spans="1:13" ht="20.100000000000001" customHeight="1" x14ac:dyDescent="0.25">
      <c r="H61" s="34"/>
      <c r="J61" s="28"/>
      <c r="K61" s="28"/>
      <c r="L61" s="28"/>
      <c r="M61" s="28"/>
    </row>
    <row r="62" spans="1:13" ht="20.100000000000001" customHeight="1" x14ac:dyDescent="0.25">
      <c r="H62" s="34"/>
      <c r="J62" s="44"/>
      <c r="K62" s="51"/>
      <c r="L62" s="28"/>
      <c r="M62" s="28"/>
    </row>
    <row r="63" spans="1:13" ht="20.100000000000001" customHeight="1" x14ac:dyDescent="0.25">
      <c r="H63" s="34"/>
      <c r="J63" s="28"/>
      <c r="K63" s="28"/>
      <c r="L63" s="28"/>
      <c r="M63" s="28"/>
    </row>
    <row r="64" spans="1:13" ht="20.100000000000001" customHeight="1" x14ac:dyDescent="0.25">
      <c r="B64" s="28"/>
      <c r="C64" s="28"/>
      <c r="D64" s="28"/>
      <c r="E64" s="28"/>
      <c r="F64" s="28"/>
      <c r="G64" s="28"/>
      <c r="H64" s="28"/>
      <c r="J64" s="28"/>
      <c r="K64" s="28"/>
      <c r="L64" s="28"/>
      <c r="M64" s="28"/>
    </row>
    <row r="65" spans="2:17" ht="20.100000000000001" customHeight="1" x14ac:dyDescent="0.25">
      <c r="B65" s="28"/>
      <c r="C65" s="28"/>
      <c r="D65" s="28"/>
      <c r="E65" s="28"/>
      <c r="F65" s="28"/>
      <c r="G65" s="28"/>
      <c r="H65" s="28"/>
      <c r="J65" s="28"/>
      <c r="K65" s="28"/>
      <c r="L65" s="28"/>
      <c r="M65" s="28"/>
    </row>
    <row r="66" spans="2:17" ht="20.100000000000001" customHeight="1" x14ac:dyDescent="0.25">
      <c r="B66" s="28"/>
      <c r="C66" s="28"/>
      <c r="D66" s="28"/>
      <c r="E66" s="28"/>
      <c r="F66" s="28"/>
      <c r="G66" s="28"/>
      <c r="H66" s="28"/>
      <c r="J66" s="28"/>
      <c r="K66" s="28"/>
      <c r="L66" s="28"/>
      <c r="M66" s="28"/>
    </row>
    <row r="67" spans="2:17" ht="20.100000000000001" customHeight="1" x14ac:dyDescent="0.25">
      <c r="B67" s="28"/>
      <c r="C67" s="28"/>
      <c r="D67" s="28"/>
      <c r="E67" s="28"/>
      <c r="F67" s="28"/>
      <c r="G67" s="28"/>
      <c r="H67" s="28"/>
      <c r="I67" s="34"/>
      <c r="J67" s="28"/>
      <c r="K67" s="28"/>
      <c r="L67" s="28"/>
      <c r="M67" s="28"/>
    </row>
    <row r="68" spans="2:17" ht="20.100000000000001" customHeight="1" x14ac:dyDescent="0.25">
      <c r="B68" s="28"/>
      <c r="C68" s="28"/>
      <c r="D68" s="28"/>
      <c r="E68" s="28"/>
      <c r="F68" s="28"/>
      <c r="G68" s="28"/>
      <c r="H68" s="28"/>
      <c r="I68" s="34"/>
      <c r="J68" s="28"/>
      <c r="K68" s="28"/>
      <c r="L68" s="28"/>
      <c r="M68" s="28"/>
      <c r="Q68" s="70"/>
    </row>
    <row r="69" spans="2:17" ht="20.100000000000001" customHeight="1" x14ac:dyDescent="0.25">
      <c r="B69" s="28"/>
      <c r="C69" s="28"/>
      <c r="D69" s="28"/>
      <c r="E69" s="28"/>
      <c r="F69" s="28"/>
      <c r="G69" s="53"/>
      <c r="H69" s="28"/>
      <c r="I69" s="34"/>
      <c r="J69" s="28"/>
      <c r="K69" s="28"/>
      <c r="L69" s="28"/>
      <c r="M69" s="28"/>
    </row>
    <row r="70" spans="2:17" ht="20.100000000000001" customHeight="1" x14ac:dyDescent="0.25">
      <c r="B70" s="28"/>
      <c r="C70" s="28"/>
      <c r="D70" s="28"/>
      <c r="E70" s="28"/>
      <c r="F70" s="28"/>
      <c r="G70" s="28"/>
      <c r="H70" s="28"/>
      <c r="I70" s="34"/>
      <c r="K70" s="34"/>
    </row>
    <row r="71" spans="2:17" ht="20.100000000000001" customHeight="1" x14ac:dyDescent="0.25">
      <c r="B71" s="28"/>
      <c r="C71" s="28"/>
      <c r="D71" s="28"/>
      <c r="E71" s="28"/>
      <c r="F71" s="28"/>
      <c r="G71" s="28"/>
      <c r="H71" s="28"/>
      <c r="I71" s="34"/>
      <c r="K71" s="34"/>
    </row>
    <row r="72" spans="2:17" ht="20.100000000000001" customHeight="1" x14ac:dyDescent="0.25">
      <c r="B72" s="28"/>
      <c r="C72" s="28"/>
      <c r="D72" s="28"/>
      <c r="E72" s="28"/>
      <c r="F72" s="28"/>
      <c r="G72" s="28"/>
      <c r="H72" s="28"/>
      <c r="I72" s="34"/>
      <c r="K72" s="34"/>
    </row>
    <row r="73" spans="2:17" ht="20.100000000000001" customHeight="1" x14ac:dyDescent="0.25">
      <c r="B73" s="28"/>
      <c r="C73" s="28"/>
      <c r="D73" s="28"/>
      <c r="E73" s="28"/>
      <c r="F73" s="28"/>
      <c r="G73" s="28"/>
      <c r="H73" s="28"/>
      <c r="I73" s="34"/>
      <c r="K73" s="34"/>
    </row>
    <row r="74" spans="2:17" ht="20.100000000000001" customHeight="1" x14ac:dyDescent="0.25">
      <c r="H74" s="34"/>
      <c r="I74" s="34"/>
      <c r="K74" s="34"/>
    </row>
    <row r="75" spans="2:17" ht="20.100000000000001" customHeight="1" x14ac:dyDescent="0.25">
      <c r="H75" s="34"/>
      <c r="I75" s="34"/>
      <c r="K75" s="34"/>
    </row>
    <row r="76" spans="2:17" ht="20.100000000000001" customHeight="1" x14ac:dyDescent="0.25">
      <c r="J76" s="54"/>
      <c r="K76" s="34"/>
    </row>
    <row r="77" spans="2:17" ht="20.100000000000001" customHeight="1" x14ac:dyDescent="0.25">
      <c r="J77" s="54"/>
      <c r="K77" s="34"/>
    </row>
    <row r="78" spans="2:17" ht="20.100000000000001" customHeight="1" x14ac:dyDescent="0.25">
      <c r="J78" s="54"/>
      <c r="K78" s="34"/>
    </row>
    <row r="79" spans="2:17" ht="20.100000000000001" customHeight="1" x14ac:dyDescent="0.25">
      <c r="J79" s="54"/>
      <c r="K79" s="34"/>
    </row>
    <row r="80" spans="2:17" ht="20.100000000000001" customHeight="1" x14ac:dyDescent="0.25">
      <c r="J80" s="54"/>
      <c r="K80" s="34"/>
    </row>
    <row r="81" spans="10:11" ht="20.100000000000001" customHeight="1" x14ac:dyDescent="0.25">
      <c r="J81" s="54"/>
      <c r="K81" s="34"/>
    </row>
    <row r="82" spans="10:11" ht="20.100000000000001" customHeight="1" x14ac:dyDescent="0.25">
      <c r="J82" s="54"/>
      <c r="K82" s="34"/>
    </row>
    <row r="83" spans="10:11" ht="20.100000000000001" customHeight="1" x14ac:dyDescent="0.25">
      <c r="J83" s="54"/>
      <c r="K83" s="34"/>
    </row>
    <row r="84" spans="10:11" ht="20.100000000000001" customHeight="1" x14ac:dyDescent="0.25">
      <c r="J84" s="34"/>
      <c r="K84" s="34"/>
    </row>
  </sheetData>
  <sheetProtection password="DDF1" sheet="1" objects="1" selectLockedCells="1"/>
  <pageMargins left="0.78740157480314965" right="0.78740157480314965" top="0.98425196850393704" bottom="0.98425196850393704" header="0.51181102362204722" footer="0.51181102362204722"/>
  <pageSetup paperSize="9" scale="68" orientation="portrait" horizontalDpi="1200" verticalDpi="12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4"/>
  <sheetViews>
    <sheetView zoomScale="85" zoomScaleNormal="85" workbookViewId="0">
      <selection activeCell="B6" sqref="B6"/>
    </sheetView>
  </sheetViews>
  <sheetFormatPr baseColWidth="10" defaultColWidth="11.44140625" defaultRowHeight="20.100000000000001" customHeight="1" x14ac:dyDescent="0.25"/>
  <cols>
    <col min="1" max="1" width="44.6640625" style="57" bestFit="1" customWidth="1"/>
    <col min="2" max="2" width="8.6640625" style="59" customWidth="1"/>
    <col min="3" max="3" width="8.6640625" style="57" customWidth="1"/>
    <col min="4" max="4" width="14.33203125" style="57" customWidth="1"/>
    <col min="5" max="5" width="4.5546875" style="57" customWidth="1"/>
    <col min="6" max="7" width="11.44140625" style="57"/>
    <col min="8" max="8" width="11.44140625" style="59"/>
    <col min="9" max="9" width="15.44140625" style="59" customWidth="1"/>
    <col min="10" max="16384" width="11.44140625" style="59"/>
  </cols>
  <sheetData>
    <row r="1" spans="1:10" s="57" customFormat="1" ht="24.9" customHeight="1" x14ac:dyDescent="0.25">
      <c r="A1" s="26" t="s">
        <v>110</v>
      </c>
      <c r="B1" s="78"/>
      <c r="C1" s="27"/>
      <c r="D1" s="27"/>
      <c r="E1" s="27"/>
      <c r="F1" s="27"/>
      <c r="G1" s="27"/>
      <c r="H1" s="79"/>
      <c r="I1" s="27"/>
      <c r="J1" s="29"/>
    </row>
    <row r="2" spans="1:10" s="57" customFormat="1" ht="20.100000000000001" customHeight="1" x14ac:dyDescent="0.25">
      <c r="A2" s="30" t="s">
        <v>43</v>
      </c>
      <c r="B2" s="80"/>
      <c r="C2" s="31"/>
      <c r="D2" s="31"/>
      <c r="E2" s="31"/>
      <c r="F2" s="31"/>
      <c r="G2" s="31"/>
      <c r="H2" s="31"/>
      <c r="I2" s="31"/>
      <c r="J2" s="29"/>
    </row>
    <row r="3" spans="1:10" s="57" customFormat="1" ht="20.100000000000001" customHeight="1" x14ac:dyDescent="0.25">
      <c r="A3" s="29" t="s">
        <v>87</v>
      </c>
      <c r="B3" s="32"/>
      <c r="C3" s="29"/>
      <c r="D3" s="29" t="s">
        <v>127</v>
      </c>
      <c r="E3" s="29"/>
      <c r="F3" s="29"/>
      <c r="G3" s="29"/>
      <c r="H3" s="29"/>
      <c r="I3" s="29"/>
      <c r="J3" s="29"/>
    </row>
    <row r="4" spans="1:10" s="57" customFormat="1" ht="20.100000000000001" customHeight="1" x14ac:dyDescent="0.25">
      <c r="A4" s="27" t="s">
        <v>95</v>
      </c>
      <c r="B4" s="33"/>
      <c r="C4" s="27"/>
      <c r="D4" s="27"/>
      <c r="E4" s="27"/>
      <c r="F4" s="27"/>
      <c r="G4" s="27"/>
      <c r="H4" s="79"/>
      <c r="I4" s="27"/>
      <c r="J4" s="29"/>
    </row>
    <row r="5" spans="1:10" s="57" customFormat="1" ht="24.9" customHeight="1" x14ac:dyDescent="0.25">
      <c r="A5" s="30" t="s">
        <v>124</v>
      </c>
      <c r="B5" s="80"/>
      <c r="C5" s="31"/>
      <c r="D5" s="31"/>
      <c r="E5" s="31"/>
      <c r="F5" s="31"/>
      <c r="G5" s="31"/>
      <c r="H5" s="81"/>
      <c r="I5" s="31"/>
      <c r="J5" s="29"/>
    </row>
    <row r="6" spans="1:10" ht="20.100000000000001" customHeight="1" x14ac:dyDescent="0.25">
      <c r="A6" s="29" t="s">
        <v>10</v>
      </c>
      <c r="B6" s="58">
        <f>1/7</f>
        <v>0.14285714285714285</v>
      </c>
      <c r="C6" s="29" t="s">
        <v>9</v>
      </c>
      <c r="D6" s="29" t="s">
        <v>4</v>
      </c>
      <c r="E6" s="29"/>
      <c r="F6" s="29"/>
      <c r="G6" s="29"/>
      <c r="H6" s="29"/>
      <c r="I6" s="29"/>
      <c r="J6" s="56"/>
    </row>
    <row r="7" spans="1:10" ht="20.100000000000001" customHeight="1" x14ac:dyDescent="0.25">
      <c r="A7" s="27" t="s">
        <v>44</v>
      </c>
      <c r="B7" s="98">
        <f>SQRT(2*9.81*B6)</f>
        <v>1.6741735701106808</v>
      </c>
      <c r="C7" s="27" t="s">
        <v>12</v>
      </c>
      <c r="D7" s="27" t="s">
        <v>4</v>
      </c>
      <c r="E7" s="27"/>
      <c r="F7" s="27"/>
      <c r="G7" s="27"/>
      <c r="H7" s="27"/>
      <c r="I7" s="27"/>
      <c r="J7" s="35"/>
    </row>
    <row r="8" spans="1:10" ht="20.100000000000001" customHeight="1" x14ac:dyDescent="0.25">
      <c r="A8" s="30" t="s">
        <v>35</v>
      </c>
      <c r="B8" s="82"/>
      <c r="C8" s="31"/>
      <c r="D8" s="31"/>
      <c r="E8" s="31"/>
      <c r="F8" s="31"/>
      <c r="G8" s="31"/>
      <c r="H8" s="31"/>
      <c r="I8" s="31"/>
      <c r="J8" s="35"/>
    </row>
    <row r="9" spans="1:10" ht="20.100000000000001" customHeight="1" x14ac:dyDescent="0.25">
      <c r="A9" s="29" t="s">
        <v>3</v>
      </c>
      <c r="B9" s="63">
        <f>B6/B17*100</f>
        <v>5.7142857142857144</v>
      </c>
      <c r="C9" s="29" t="s">
        <v>27</v>
      </c>
      <c r="D9" s="29"/>
      <c r="E9" s="29"/>
      <c r="F9" s="29"/>
      <c r="G9" s="29"/>
      <c r="H9" s="3"/>
      <c r="I9" s="3"/>
      <c r="J9" s="35"/>
    </row>
    <row r="10" spans="1:10" ht="20.100000000000001" customHeight="1" x14ac:dyDescent="0.25">
      <c r="A10" s="29" t="s">
        <v>46</v>
      </c>
      <c r="B10" s="58">
        <v>0.5</v>
      </c>
      <c r="C10" s="29" t="s">
        <v>9</v>
      </c>
      <c r="D10" s="29" t="s">
        <v>4</v>
      </c>
      <c r="E10" s="29"/>
      <c r="F10" s="29"/>
      <c r="G10" s="29"/>
      <c r="H10" s="3"/>
      <c r="I10" s="3"/>
      <c r="J10" s="36"/>
    </row>
    <row r="11" spans="1:10" ht="20.100000000000001" customHeight="1" x14ac:dyDescent="0.25">
      <c r="A11" s="29" t="s">
        <v>47</v>
      </c>
      <c r="B11" s="89">
        <f>B10*2/3</f>
        <v>0.33333333333333331</v>
      </c>
      <c r="C11" s="29" t="s">
        <v>9</v>
      </c>
      <c r="D11" s="71" t="str">
        <f>IF(B11&lt;E11,"!!! WARNUNG !!!","")</f>
        <v/>
      </c>
      <c r="E11" s="72">
        <f>ROUND(B10*2/3,2)</f>
        <v>0.33</v>
      </c>
      <c r="F11" s="29" t="s">
        <v>111</v>
      </c>
      <c r="G11" s="29"/>
      <c r="H11" s="34"/>
      <c r="I11" s="3"/>
      <c r="J11" s="56"/>
    </row>
    <row r="12" spans="1:10" ht="20.100000000000001" customHeight="1" x14ac:dyDescent="0.25">
      <c r="A12" s="29" t="s">
        <v>48</v>
      </c>
      <c r="B12" s="64">
        <f>B11-B6</f>
        <v>0.19047619047619047</v>
      </c>
      <c r="C12" s="29" t="s">
        <v>9</v>
      </c>
      <c r="D12" s="29"/>
      <c r="E12" s="29"/>
      <c r="F12" s="29"/>
      <c r="G12" s="29"/>
      <c r="H12" s="3"/>
      <c r="I12" s="3"/>
      <c r="J12" s="56"/>
    </row>
    <row r="13" spans="1:10" ht="20.100000000000001" customHeight="1" x14ac:dyDescent="0.25">
      <c r="A13" s="29" t="s">
        <v>100</v>
      </c>
      <c r="B13" s="58">
        <v>0.14000000000000001</v>
      </c>
      <c r="C13" s="29" t="s">
        <v>9</v>
      </c>
      <c r="D13" s="29" t="s">
        <v>101</v>
      </c>
      <c r="E13" s="29"/>
      <c r="F13" s="29"/>
      <c r="G13" s="29"/>
      <c r="H13" s="29"/>
      <c r="I13" s="29"/>
      <c r="J13" s="40"/>
    </row>
    <row r="14" spans="1:10" ht="24.9" customHeight="1" x14ac:dyDescent="0.25">
      <c r="A14" s="29" t="s">
        <v>102</v>
      </c>
      <c r="B14" s="90">
        <v>0.28000000000000003</v>
      </c>
      <c r="C14" s="29" t="s">
        <v>9</v>
      </c>
      <c r="D14" s="71" t="str">
        <f>IF(B14&lt;E14,"!!! WARNUNG !!!","")</f>
        <v/>
      </c>
      <c r="E14" s="72">
        <f>ROUND(B13*2,2)</f>
        <v>0.28000000000000003</v>
      </c>
      <c r="F14" s="29" t="s">
        <v>112</v>
      </c>
      <c r="G14" s="29"/>
      <c r="H14" s="3"/>
      <c r="I14" s="3"/>
      <c r="J14" s="41"/>
    </row>
    <row r="15" spans="1:10" ht="20.100000000000001" customHeight="1" x14ac:dyDescent="0.25">
      <c r="A15" s="29" t="s">
        <v>103</v>
      </c>
      <c r="B15" s="58">
        <v>2</v>
      </c>
      <c r="C15" s="29" t="s">
        <v>9</v>
      </c>
      <c r="D15" s="29" t="s">
        <v>4</v>
      </c>
      <c r="E15" s="29"/>
      <c r="F15" s="29"/>
      <c r="G15" s="29"/>
      <c r="H15" s="3"/>
      <c r="I15" s="3"/>
      <c r="J15" s="41"/>
    </row>
    <row r="16" spans="1:10" ht="20.100000000000001" customHeight="1" x14ac:dyDescent="0.25">
      <c r="A16" s="29" t="s">
        <v>50</v>
      </c>
      <c r="B16" s="58">
        <v>0.5</v>
      </c>
      <c r="C16" s="29" t="s">
        <v>9</v>
      </c>
      <c r="D16" s="29" t="s">
        <v>51</v>
      </c>
      <c r="E16" s="29"/>
      <c r="F16" s="29"/>
      <c r="G16" s="29"/>
      <c r="H16" s="3"/>
      <c r="I16" s="3"/>
      <c r="J16" s="42"/>
    </row>
    <row r="17" spans="1:18" ht="20.100000000000001" customHeight="1" x14ac:dyDescent="0.25">
      <c r="A17" s="29" t="s">
        <v>86</v>
      </c>
      <c r="B17" s="64">
        <f>B15+B16</f>
        <v>2.5</v>
      </c>
      <c r="C17" s="29" t="s">
        <v>9</v>
      </c>
      <c r="D17" s="29"/>
      <c r="E17" s="29"/>
      <c r="F17" s="29"/>
      <c r="G17" s="29"/>
      <c r="H17" s="3"/>
      <c r="I17" s="3"/>
      <c r="J17" s="61"/>
    </row>
    <row r="18" spans="1:18" ht="20.100000000000001" customHeight="1" x14ac:dyDescent="0.25">
      <c r="A18" s="29" t="s">
        <v>19</v>
      </c>
      <c r="B18" s="89">
        <v>1.33</v>
      </c>
      <c r="C18" s="29" t="s">
        <v>9</v>
      </c>
      <c r="D18" s="71" t="str">
        <f>IF(B18&lt;E18,"!!! WARNUNG !!!","")</f>
        <v/>
      </c>
      <c r="E18" s="73">
        <f>ROUND(B15/3*2,2)</f>
        <v>1.33</v>
      </c>
      <c r="F18" s="29" t="s">
        <v>104</v>
      </c>
      <c r="G18" s="29"/>
      <c r="H18" s="3"/>
      <c r="I18" s="3"/>
      <c r="J18" s="3"/>
    </row>
    <row r="19" spans="1:18" ht="20.100000000000001" customHeight="1" x14ac:dyDescent="0.25">
      <c r="A19" s="29" t="s">
        <v>53</v>
      </c>
      <c r="B19" s="65">
        <v>2</v>
      </c>
      <c r="C19" s="29" t="s">
        <v>11</v>
      </c>
      <c r="D19" s="29" t="s">
        <v>105</v>
      </c>
      <c r="E19" s="29"/>
      <c r="F19" s="29"/>
      <c r="G19" s="29"/>
      <c r="H19" s="3"/>
      <c r="I19" s="3"/>
      <c r="J19" s="3"/>
      <c r="R19" s="61"/>
    </row>
    <row r="20" spans="1:18" ht="20.100000000000001" customHeight="1" x14ac:dyDescent="0.25">
      <c r="A20" s="29" t="s">
        <v>52</v>
      </c>
      <c r="B20" s="65">
        <v>3</v>
      </c>
      <c r="C20" s="29" t="s">
        <v>11</v>
      </c>
      <c r="D20" s="29" t="s">
        <v>106</v>
      </c>
      <c r="E20" s="29"/>
      <c r="F20" s="29"/>
      <c r="G20" s="29"/>
      <c r="H20" s="3"/>
      <c r="I20" s="3"/>
      <c r="J20" s="3"/>
    </row>
    <row r="21" spans="1:18" ht="20.100000000000001" customHeight="1" x14ac:dyDescent="0.25">
      <c r="A21" s="27" t="s">
        <v>58</v>
      </c>
      <c r="B21" s="84">
        <f>B19/B20</f>
        <v>0.66666666666666663</v>
      </c>
      <c r="C21" s="27" t="s">
        <v>11</v>
      </c>
      <c r="D21" s="27"/>
      <c r="E21" s="27"/>
      <c r="F21" s="27"/>
      <c r="G21" s="27"/>
      <c r="H21" s="37"/>
      <c r="I21" s="37"/>
      <c r="J21" s="43"/>
    </row>
    <row r="22" spans="1:18" ht="20.100000000000001" customHeight="1" x14ac:dyDescent="0.25">
      <c r="A22" s="30" t="s">
        <v>33</v>
      </c>
      <c r="B22" s="39"/>
      <c r="C22" s="31"/>
      <c r="D22" s="31"/>
      <c r="E22" s="31"/>
      <c r="F22" s="31"/>
      <c r="G22" s="31"/>
      <c r="H22" s="39"/>
      <c r="I22" s="39"/>
      <c r="J22" s="29"/>
    </row>
    <row r="23" spans="1:18" ht="20.100000000000001" customHeight="1" x14ac:dyDescent="0.25">
      <c r="A23" s="29" t="s">
        <v>55</v>
      </c>
      <c r="B23" s="2">
        <f>B12/B11</f>
        <v>0.5714285714285714</v>
      </c>
      <c r="C23" s="29" t="s">
        <v>11</v>
      </c>
      <c r="D23" s="29"/>
      <c r="E23" s="29"/>
      <c r="F23" s="29"/>
      <c r="G23" s="29"/>
      <c r="H23" s="3"/>
      <c r="I23" s="3"/>
      <c r="J23" s="61"/>
    </row>
    <row r="24" spans="1:18" ht="20.100000000000001" customHeight="1" x14ac:dyDescent="0.25">
      <c r="A24" s="29" t="s">
        <v>54</v>
      </c>
      <c r="B24" s="2">
        <f>IF(B23&lt;0.7,1,-77.58*B23^3+179.5*B23^2-138.6*B23+36.69)</f>
        <v>1</v>
      </c>
      <c r="C24" s="29" t="s">
        <v>11</v>
      </c>
      <c r="D24" s="29" t="s">
        <v>56</v>
      </c>
      <c r="E24" s="29"/>
      <c r="F24" s="29"/>
      <c r="G24" s="29"/>
      <c r="H24" s="3"/>
      <c r="I24" s="3"/>
      <c r="J24" s="61"/>
    </row>
    <row r="25" spans="1:18" ht="20.100000000000001" customHeight="1" x14ac:dyDescent="0.25">
      <c r="A25" s="29" t="s">
        <v>57</v>
      </c>
      <c r="B25" s="6">
        <v>0.6</v>
      </c>
      <c r="C25" s="29" t="s">
        <v>11</v>
      </c>
      <c r="D25" s="29" t="s">
        <v>107</v>
      </c>
      <c r="E25" s="29"/>
      <c r="F25" s="29"/>
      <c r="G25" s="29"/>
      <c r="H25" s="3"/>
      <c r="I25" s="3"/>
      <c r="J25" s="61"/>
    </row>
    <row r="26" spans="1:18" ht="20.100000000000001" customHeight="1" x14ac:dyDescent="0.25">
      <c r="A26" s="76" t="s">
        <v>94</v>
      </c>
      <c r="B26" s="77">
        <f>2/3*B25*B24*(B13+B14)/2*SQRT(2*B32)*(B11^(3/2))</f>
        <v>7.1605586374248784E-2</v>
      </c>
      <c r="C26" s="76" t="s">
        <v>32</v>
      </c>
      <c r="D26" s="108">
        <f>B26*1000</f>
        <v>71.605586374248787</v>
      </c>
      <c r="E26" s="109" t="s">
        <v>108</v>
      </c>
      <c r="F26" s="27"/>
      <c r="G26" s="27"/>
      <c r="H26" s="37"/>
      <c r="I26" s="37"/>
      <c r="J26" s="61"/>
    </row>
    <row r="27" spans="1:18" ht="20.100000000000001" customHeight="1" x14ac:dyDescent="0.25">
      <c r="A27" s="30" t="s">
        <v>0</v>
      </c>
      <c r="B27" s="39"/>
      <c r="C27" s="31"/>
      <c r="D27" s="31"/>
      <c r="E27" s="31"/>
      <c r="F27" s="31"/>
      <c r="G27" s="31"/>
      <c r="H27" s="39"/>
      <c r="I27" s="39"/>
      <c r="J27" s="61"/>
    </row>
    <row r="28" spans="1:18" ht="20.100000000000001" customHeight="1" x14ac:dyDescent="0.25">
      <c r="A28" s="29" t="s">
        <v>137</v>
      </c>
      <c r="B28" s="2">
        <f>B15*B18*B10/2</f>
        <v>0.66500000000000004</v>
      </c>
      <c r="C28" s="29"/>
      <c r="D28" s="29" t="s">
        <v>138</v>
      </c>
      <c r="E28" s="29"/>
      <c r="F28" s="29"/>
      <c r="G28" s="29"/>
      <c r="H28" s="3"/>
      <c r="I28" s="3"/>
      <c r="J28" s="61"/>
    </row>
    <row r="29" spans="1:18" ht="20.100000000000001" customHeight="1" x14ac:dyDescent="0.25">
      <c r="A29" s="76" t="s">
        <v>42</v>
      </c>
      <c r="B29" s="100">
        <f>(B31*B32*B6*B26)/B28</f>
        <v>150.90242799814834</v>
      </c>
      <c r="C29" s="76" t="s">
        <v>37</v>
      </c>
      <c r="D29" s="27" t="s">
        <v>4</v>
      </c>
      <c r="E29" s="27"/>
      <c r="F29" s="27"/>
      <c r="G29" s="27"/>
      <c r="H29" s="37"/>
      <c r="I29" s="37"/>
      <c r="J29" s="61"/>
    </row>
    <row r="30" spans="1:18" ht="20.100000000000001" customHeight="1" x14ac:dyDescent="0.25">
      <c r="A30" s="19" t="s">
        <v>90</v>
      </c>
      <c r="B30" s="86"/>
      <c r="C30" s="22"/>
      <c r="D30" s="31"/>
      <c r="E30" s="31"/>
      <c r="F30" s="31"/>
      <c r="G30" s="31"/>
      <c r="H30" s="39"/>
      <c r="I30" s="39"/>
      <c r="J30" s="61"/>
    </row>
    <row r="31" spans="1:18" ht="24.9" customHeight="1" x14ac:dyDescent="0.25">
      <c r="A31" s="17" t="s">
        <v>126</v>
      </c>
      <c r="B31" s="87">
        <v>1000</v>
      </c>
      <c r="C31" s="17" t="s">
        <v>15</v>
      </c>
      <c r="D31" s="29"/>
      <c r="E31" s="29"/>
      <c r="F31" s="29"/>
      <c r="G31" s="29"/>
      <c r="H31" s="3"/>
      <c r="I31" s="3"/>
      <c r="J31" s="61"/>
    </row>
    <row r="32" spans="1:18" ht="20.100000000000001" customHeight="1" x14ac:dyDescent="0.25">
      <c r="A32" s="18" t="s">
        <v>25</v>
      </c>
      <c r="B32" s="88">
        <v>9.81</v>
      </c>
      <c r="C32" s="18" t="s">
        <v>16</v>
      </c>
      <c r="D32" s="27"/>
      <c r="E32" s="27"/>
      <c r="F32" s="27"/>
      <c r="G32" s="27"/>
      <c r="H32" s="37"/>
      <c r="I32" s="37"/>
      <c r="J32" s="61"/>
    </row>
    <row r="33" spans="1:18" ht="20.100000000000001" customHeight="1" x14ac:dyDescent="0.25">
      <c r="A33" s="29"/>
      <c r="B33" s="67"/>
      <c r="C33" s="56"/>
      <c r="D33" s="29"/>
      <c r="E33" s="29"/>
      <c r="F33" s="29"/>
      <c r="G33" s="29"/>
      <c r="H33" s="61"/>
      <c r="I33" s="61"/>
      <c r="J33" s="61"/>
      <c r="P33" s="61"/>
    </row>
    <row r="34" spans="1:18" ht="20.100000000000001" customHeight="1" x14ac:dyDescent="0.25">
      <c r="A34" s="28"/>
      <c r="B34" s="28"/>
      <c r="C34" s="28"/>
      <c r="D34" s="28"/>
      <c r="E34" s="28"/>
      <c r="F34" s="28"/>
      <c r="G34" s="28"/>
      <c r="H34" s="29"/>
      <c r="I34" s="29"/>
      <c r="J34" s="61"/>
    </row>
    <row r="35" spans="1:18" ht="20.100000000000001" customHeight="1" x14ac:dyDescent="0.25">
      <c r="A35" s="28"/>
      <c r="B35" s="28"/>
      <c r="D35" s="28"/>
      <c r="E35" s="28"/>
      <c r="F35" s="28"/>
      <c r="G35" s="28"/>
      <c r="H35" s="29"/>
      <c r="I35" s="29"/>
      <c r="J35" s="61"/>
      <c r="Q35" s="61"/>
    </row>
    <row r="36" spans="1:18" ht="24.9" customHeight="1" x14ac:dyDescent="0.25">
      <c r="A36" s="28"/>
      <c r="B36" s="28"/>
      <c r="C36" s="28"/>
      <c r="D36" s="28"/>
      <c r="E36" s="28"/>
      <c r="F36" s="28"/>
      <c r="G36" s="28"/>
      <c r="H36" s="29"/>
      <c r="I36" s="29"/>
      <c r="J36" s="61"/>
      <c r="Q36" s="42"/>
      <c r="R36" s="66"/>
    </row>
    <row r="37" spans="1:18" ht="20.100000000000001" customHeight="1" x14ac:dyDescent="0.25">
      <c r="A37" s="28"/>
      <c r="B37" s="28"/>
      <c r="C37" s="28"/>
      <c r="D37" s="28"/>
      <c r="E37" s="28"/>
      <c r="F37" s="28"/>
      <c r="G37" s="28"/>
      <c r="H37" s="28"/>
      <c r="I37" s="28"/>
      <c r="J37" s="61"/>
      <c r="Q37" s="46"/>
      <c r="R37" s="46"/>
    </row>
    <row r="38" spans="1:18" ht="20.100000000000001" customHeight="1" x14ac:dyDescent="0.25">
      <c r="A38" s="28"/>
      <c r="B38" s="28"/>
      <c r="C38" s="28"/>
      <c r="D38" s="28"/>
      <c r="E38" s="28"/>
      <c r="F38" s="28"/>
      <c r="G38" s="28"/>
      <c r="H38" s="28"/>
      <c r="I38" s="28"/>
      <c r="J38" s="61"/>
      <c r="Q38" s="46"/>
      <c r="R38" s="46"/>
    </row>
    <row r="39" spans="1:18" ht="24.9" customHeight="1" x14ac:dyDescent="0.25">
      <c r="A39" s="28"/>
      <c r="B39" s="28"/>
      <c r="C39" s="28"/>
      <c r="D39" s="28"/>
      <c r="E39" s="28"/>
      <c r="F39" s="28"/>
      <c r="G39" s="28"/>
      <c r="H39" s="28"/>
      <c r="I39" s="28"/>
      <c r="J39" s="61"/>
      <c r="Q39" s="46"/>
      <c r="R39" s="46"/>
    </row>
    <row r="40" spans="1:18" ht="20.100000000000001" customHeight="1" x14ac:dyDescent="0.25">
      <c r="A40" s="28"/>
      <c r="B40" s="28"/>
      <c r="C40" s="28"/>
      <c r="D40" s="28"/>
      <c r="E40" s="28"/>
      <c r="F40" s="28"/>
      <c r="G40" s="28"/>
      <c r="H40" s="28"/>
      <c r="I40" s="28"/>
      <c r="J40" s="61"/>
      <c r="Q40" s="46"/>
      <c r="R40" s="46"/>
    </row>
    <row r="41" spans="1:18" ht="20.100000000000001" customHeight="1" x14ac:dyDescent="0.25">
      <c r="A41" s="28"/>
      <c r="B41" s="28"/>
      <c r="C41" s="28"/>
      <c r="D41" s="28"/>
      <c r="E41" s="28"/>
      <c r="F41" s="28"/>
      <c r="G41" s="28"/>
      <c r="H41" s="28"/>
      <c r="I41" s="28"/>
      <c r="J41" s="61"/>
      <c r="Q41" s="46"/>
      <c r="R41" s="46"/>
    </row>
    <row r="42" spans="1:18" ht="20.100000000000001" customHeight="1" x14ac:dyDescent="0.25">
      <c r="A42" s="28"/>
      <c r="B42" s="28"/>
      <c r="C42" s="28"/>
      <c r="D42" s="69"/>
      <c r="E42" s="50"/>
      <c r="F42" s="28"/>
      <c r="G42" s="28"/>
      <c r="H42" s="28"/>
      <c r="I42" s="28"/>
      <c r="J42" s="61"/>
      <c r="Q42" s="46"/>
      <c r="R42" s="46"/>
    </row>
    <row r="43" spans="1:18" ht="20.100000000000001" customHeight="1" x14ac:dyDescent="0.25">
      <c r="A43" s="28"/>
      <c r="B43" s="28"/>
      <c r="C43" s="28"/>
      <c r="D43" s="28"/>
      <c r="E43" s="28"/>
      <c r="F43" s="28"/>
      <c r="G43" s="28"/>
      <c r="H43" s="28"/>
      <c r="I43" s="28"/>
      <c r="J43" s="61"/>
      <c r="Q43" s="46"/>
      <c r="R43" s="46"/>
    </row>
    <row r="44" spans="1:18" ht="20.100000000000001" customHeight="1" x14ac:dyDescent="0.25">
      <c r="A44" s="28"/>
      <c r="B44" s="28"/>
      <c r="C44" s="28"/>
      <c r="D44" s="28"/>
      <c r="E44" s="28"/>
      <c r="F44" s="28"/>
      <c r="G44" s="28"/>
      <c r="H44" s="28"/>
      <c r="I44" s="28"/>
      <c r="J44" s="61"/>
      <c r="Q44" s="46"/>
      <c r="R44" s="46"/>
    </row>
    <row r="45" spans="1:18" ht="20.100000000000001" customHeight="1" x14ac:dyDescent="0.25">
      <c r="A45" s="28"/>
      <c r="B45" s="28"/>
      <c r="C45" s="28"/>
      <c r="D45" s="28"/>
      <c r="E45" s="28"/>
      <c r="F45" s="28"/>
      <c r="G45" s="28"/>
      <c r="H45" s="28"/>
      <c r="I45" s="28"/>
      <c r="J45" s="61"/>
      <c r="Q45" s="68"/>
      <c r="R45" s="68"/>
    </row>
    <row r="46" spans="1:18" ht="20.100000000000001" customHeight="1" x14ac:dyDescent="0.25">
      <c r="A46" s="28"/>
      <c r="B46" s="28"/>
      <c r="C46" s="28"/>
      <c r="D46" s="28"/>
      <c r="E46" s="28"/>
      <c r="F46" s="28"/>
      <c r="G46" s="28"/>
      <c r="H46" s="28"/>
      <c r="I46" s="28"/>
      <c r="J46" s="61"/>
      <c r="Q46" s="68"/>
      <c r="R46" s="68"/>
    </row>
    <row r="47" spans="1:18" ht="20.100000000000001" customHeight="1" x14ac:dyDescent="0.25">
      <c r="A47" s="28"/>
      <c r="B47" s="28"/>
      <c r="C47" s="28"/>
      <c r="D47" s="28"/>
      <c r="E47" s="28"/>
      <c r="F47" s="28"/>
      <c r="G47" s="28"/>
      <c r="H47" s="28"/>
      <c r="I47" s="28"/>
      <c r="J47" s="61"/>
    </row>
    <row r="48" spans="1:18" ht="20.100000000000001" customHeight="1" x14ac:dyDescent="0.25">
      <c r="A48" s="28"/>
      <c r="B48" s="28"/>
      <c r="C48" s="28"/>
      <c r="D48" s="28"/>
      <c r="E48" s="28"/>
      <c r="F48" s="28"/>
      <c r="G48" s="28"/>
      <c r="H48" s="28"/>
      <c r="I48" s="28"/>
      <c r="J48" s="61"/>
    </row>
    <row r="49" spans="1:13" ht="20.100000000000001" customHeight="1" x14ac:dyDescent="0.25">
      <c r="A49" s="28"/>
      <c r="B49" s="28"/>
      <c r="C49" s="28"/>
      <c r="D49" s="28"/>
      <c r="E49" s="28"/>
      <c r="F49" s="28"/>
      <c r="G49" s="28"/>
      <c r="H49" s="28"/>
      <c r="I49" s="28"/>
      <c r="J49" s="29"/>
      <c r="K49" s="28"/>
      <c r="L49" s="28"/>
      <c r="M49" s="28"/>
    </row>
    <row r="50" spans="1:13" ht="20.100000000000001" customHeight="1" x14ac:dyDescent="0.25">
      <c r="A50" s="28"/>
      <c r="B50" s="28"/>
      <c r="C50" s="28"/>
      <c r="D50" s="28"/>
      <c r="E50" s="28"/>
      <c r="F50" s="28"/>
      <c r="G50" s="28"/>
      <c r="H50" s="28"/>
      <c r="I50" s="28"/>
      <c r="J50" s="29"/>
      <c r="K50" s="28"/>
      <c r="L50" s="28"/>
      <c r="M50" s="28"/>
    </row>
    <row r="51" spans="1:13" ht="20.100000000000001" customHeight="1" x14ac:dyDescent="0.25">
      <c r="A51" s="28"/>
      <c r="B51" s="28"/>
      <c r="C51" s="28"/>
      <c r="D51" s="28"/>
      <c r="E51" s="28"/>
      <c r="F51" s="28"/>
      <c r="G51" s="28"/>
      <c r="H51" s="28"/>
      <c r="I51" s="28"/>
      <c r="J51" s="29"/>
      <c r="K51" s="28"/>
      <c r="L51" s="28"/>
      <c r="M51" s="28"/>
    </row>
    <row r="52" spans="1:13" ht="20.100000000000001" customHeight="1" x14ac:dyDescent="0.25">
      <c r="H52" s="28"/>
      <c r="I52" s="28"/>
      <c r="J52" s="28"/>
      <c r="K52" s="28"/>
      <c r="L52" s="28"/>
      <c r="M52" s="28"/>
    </row>
    <row r="53" spans="1:13" ht="20.100000000000001" customHeight="1" x14ac:dyDescent="0.25">
      <c r="H53" s="28"/>
      <c r="I53" s="28"/>
      <c r="J53" s="28"/>
      <c r="K53" s="28"/>
      <c r="L53" s="28"/>
      <c r="M53" s="28"/>
    </row>
    <row r="54" spans="1:13" ht="20.100000000000001" customHeight="1" x14ac:dyDescent="0.25">
      <c r="H54" s="28"/>
      <c r="I54" s="28"/>
      <c r="J54" s="28"/>
      <c r="K54" s="28"/>
      <c r="L54" s="28"/>
      <c r="M54" s="28"/>
    </row>
    <row r="55" spans="1:13" ht="20.100000000000001" customHeight="1" x14ac:dyDescent="0.25">
      <c r="B55" s="28"/>
      <c r="C55" s="28"/>
      <c r="D55" s="28"/>
      <c r="E55" s="28"/>
      <c r="F55" s="28"/>
      <c r="G55" s="28"/>
      <c r="H55" s="34"/>
      <c r="J55" s="28"/>
      <c r="K55" s="28"/>
      <c r="L55" s="28"/>
      <c r="M55" s="28"/>
    </row>
    <row r="56" spans="1:13" ht="20.100000000000001" customHeight="1" x14ac:dyDescent="0.25">
      <c r="B56" s="28"/>
      <c r="C56" s="28"/>
      <c r="D56" s="28"/>
      <c r="E56" s="28"/>
      <c r="F56" s="28"/>
      <c r="G56" s="28"/>
      <c r="H56" s="34"/>
      <c r="J56" s="28"/>
      <c r="K56" s="28"/>
      <c r="L56" s="28"/>
      <c r="M56" s="28"/>
    </row>
    <row r="57" spans="1:13" ht="20.100000000000001" customHeight="1" x14ac:dyDescent="0.25">
      <c r="B57" s="28"/>
      <c r="C57" s="28"/>
      <c r="D57" s="28"/>
      <c r="E57" s="28"/>
      <c r="F57" s="28"/>
      <c r="G57" s="28"/>
      <c r="H57" s="34"/>
      <c r="J57" s="44"/>
      <c r="K57" s="28"/>
      <c r="L57" s="28"/>
      <c r="M57" s="28"/>
    </row>
    <row r="58" spans="1:13" ht="20.100000000000001" customHeight="1" x14ac:dyDescent="0.25">
      <c r="B58" s="28"/>
      <c r="C58" s="28"/>
      <c r="D58" s="28"/>
      <c r="E58" s="28"/>
      <c r="F58" s="28"/>
      <c r="G58" s="28"/>
      <c r="H58" s="28"/>
      <c r="J58" s="28"/>
      <c r="K58" s="28"/>
      <c r="L58" s="28"/>
      <c r="M58" s="28"/>
    </row>
    <row r="59" spans="1:13" ht="20.100000000000001" customHeight="1" x14ac:dyDescent="0.25">
      <c r="B59" s="28"/>
      <c r="C59" s="28"/>
      <c r="D59" s="28"/>
      <c r="E59" s="28"/>
      <c r="F59" s="28"/>
      <c r="G59" s="28"/>
      <c r="H59" s="28"/>
      <c r="J59" s="28"/>
      <c r="K59" s="28"/>
      <c r="L59" s="28"/>
      <c r="M59" s="28"/>
    </row>
    <row r="60" spans="1:13" ht="20.100000000000001" customHeight="1" x14ac:dyDescent="0.25">
      <c r="B60" s="28"/>
      <c r="C60" s="28"/>
      <c r="D60" s="28"/>
      <c r="E60" s="28"/>
      <c r="F60" s="28"/>
      <c r="G60" s="53"/>
      <c r="H60" s="28"/>
      <c r="J60" s="28"/>
      <c r="K60" s="28"/>
      <c r="L60" s="28"/>
      <c r="M60" s="28"/>
    </row>
    <row r="61" spans="1:13" ht="20.100000000000001" customHeight="1" x14ac:dyDescent="0.25">
      <c r="B61" s="28"/>
      <c r="C61" s="28"/>
      <c r="D61" s="28"/>
      <c r="E61" s="28"/>
      <c r="F61" s="28"/>
      <c r="G61" s="28"/>
      <c r="H61" s="28"/>
      <c r="I61" s="34"/>
      <c r="J61" s="28"/>
      <c r="K61" s="28"/>
      <c r="L61" s="28"/>
      <c r="M61" s="28"/>
    </row>
    <row r="62" spans="1:13" ht="20.100000000000001" customHeight="1" x14ac:dyDescent="0.25">
      <c r="B62" s="28"/>
      <c r="C62" s="28"/>
      <c r="D62" s="28"/>
      <c r="E62" s="28"/>
      <c r="F62" s="28"/>
      <c r="G62" s="28"/>
      <c r="H62" s="28"/>
      <c r="I62" s="34"/>
      <c r="J62" s="44"/>
      <c r="K62" s="51"/>
      <c r="L62" s="28"/>
      <c r="M62" s="28"/>
    </row>
    <row r="63" spans="1:13" ht="20.100000000000001" customHeight="1" x14ac:dyDescent="0.25">
      <c r="B63" s="28"/>
      <c r="C63" s="28"/>
      <c r="D63" s="28"/>
      <c r="E63" s="28"/>
      <c r="F63" s="28"/>
      <c r="G63" s="28"/>
      <c r="H63" s="28"/>
      <c r="I63" s="34"/>
      <c r="J63" s="28"/>
      <c r="K63" s="28"/>
      <c r="L63" s="28"/>
      <c r="M63" s="28"/>
    </row>
    <row r="64" spans="1:13" ht="20.100000000000001" customHeight="1" x14ac:dyDescent="0.25">
      <c r="B64" s="28"/>
      <c r="C64" s="28"/>
      <c r="D64" s="28"/>
      <c r="E64" s="28"/>
      <c r="F64" s="28"/>
      <c r="G64" s="28"/>
      <c r="H64" s="28"/>
      <c r="I64" s="34"/>
      <c r="J64" s="28"/>
      <c r="K64" s="28"/>
      <c r="L64" s="28"/>
      <c r="M64" s="28"/>
    </row>
    <row r="65" spans="8:17" ht="20.100000000000001" customHeight="1" x14ac:dyDescent="0.25">
      <c r="H65" s="28"/>
      <c r="I65" s="34"/>
      <c r="J65" s="28"/>
      <c r="K65" s="28"/>
      <c r="L65" s="28"/>
      <c r="M65" s="28"/>
    </row>
    <row r="66" spans="8:17" ht="20.100000000000001" customHeight="1" x14ac:dyDescent="0.25">
      <c r="H66" s="28"/>
      <c r="I66" s="34"/>
      <c r="J66" s="28"/>
      <c r="K66" s="28"/>
      <c r="L66" s="28"/>
      <c r="M66" s="28"/>
    </row>
    <row r="67" spans="8:17" ht="20.100000000000001" customHeight="1" x14ac:dyDescent="0.25">
      <c r="H67" s="28"/>
      <c r="I67" s="34"/>
      <c r="J67" s="28"/>
      <c r="K67" s="28"/>
      <c r="L67" s="28"/>
      <c r="M67" s="28"/>
    </row>
    <row r="68" spans="8:17" ht="20.100000000000001" customHeight="1" x14ac:dyDescent="0.25">
      <c r="H68" s="34"/>
      <c r="I68" s="34"/>
      <c r="J68" s="28"/>
      <c r="K68" s="28"/>
      <c r="L68" s="28"/>
      <c r="M68" s="28"/>
      <c r="Q68" s="70"/>
    </row>
    <row r="69" spans="8:17" ht="20.100000000000001" customHeight="1" x14ac:dyDescent="0.25">
      <c r="H69" s="34"/>
      <c r="I69" s="34"/>
      <c r="J69" s="28"/>
      <c r="K69" s="28"/>
      <c r="L69" s="28"/>
      <c r="M69" s="28"/>
    </row>
    <row r="70" spans="8:17" ht="20.100000000000001" customHeight="1" x14ac:dyDescent="0.25">
      <c r="K70" s="34"/>
    </row>
    <row r="71" spans="8:17" ht="20.100000000000001" customHeight="1" x14ac:dyDescent="0.25">
      <c r="K71" s="34"/>
    </row>
    <row r="72" spans="8:17" ht="20.100000000000001" customHeight="1" x14ac:dyDescent="0.25">
      <c r="K72" s="34"/>
    </row>
    <row r="73" spans="8:17" ht="20.100000000000001" customHeight="1" x14ac:dyDescent="0.25">
      <c r="K73" s="34"/>
    </row>
    <row r="74" spans="8:17" ht="20.100000000000001" customHeight="1" x14ac:dyDescent="0.25">
      <c r="K74" s="34"/>
    </row>
    <row r="75" spans="8:17" ht="20.100000000000001" customHeight="1" x14ac:dyDescent="0.25">
      <c r="K75" s="34"/>
    </row>
    <row r="76" spans="8:17" ht="20.100000000000001" customHeight="1" x14ac:dyDescent="0.25">
      <c r="J76" s="54"/>
      <c r="K76" s="34"/>
    </row>
    <row r="77" spans="8:17" ht="20.100000000000001" customHeight="1" x14ac:dyDescent="0.25">
      <c r="J77" s="54"/>
      <c r="K77" s="34"/>
    </row>
    <row r="78" spans="8:17" ht="20.100000000000001" customHeight="1" x14ac:dyDescent="0.25">
      <c r="J78" s="54"/>
      <c r="K78" s="34"/>
    </row>
    <row r="79" spans="8:17" ht="20.100000000000001" customHeight="1" x14ac:dyDescent="0.25">
      <c r="J79" s="54"/>
      <c r="K79" s="34"/>
    </row>
    <row r="80" spans="8:17" ht="20.100000000000001" customHeight="1" x14ac:dyDescent="0.25">
      <c r="J80" s="54"/>
      <c r="K80" s="34"/>
    </row>
    <row r="81" spans="10:11" ht="20.100000000000001" customHeight="1" x14ac:dyDescent="0.25">
      <c r="J81" s="54"/>
      <c r="K81" s="34"/>
    </row>
    <row r="82" spans="10:11" ht="20.100000000000001" customHeight="1" x14ac:dyDescent="0.25">
      <c r="J82" s="54"/>
      <c r="K82" s="34"/>
    </row>
    <row r="83" spans="10:11" ht="20.100000000000001" customHeight="1" x14ac:dyDescent="0.25">
      <c r="J83" s="54"/>
      <c r="K83" s="34"/>
    </row>
    <row r="84" spans="10:11" ht="20.100000000000001" customHeight="1" x14ac:dyDescent="0.25">
      <c r="J84" s="34"/>
      <c r="K84" s="34"/>
    </row>
  </sheetData>
  <sheetProtection password="DDF1" sheet="1" objects="1" selectLockedCells="1"/>
  <pageMargins left="0.78740157480314965" right="0.78740157480314965" top="0.98425196850393704" bottom="0.98425196850393704" header="0.51181102362204722" footer="0.51181102362204722"/>
  <pageSetup paperSize="9" scale="66" orientation="portrait" horizontalDpi="1200" verticalDpi="12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0"/>
  <sheetViews>
    <sheetView zoomScale="85" zoomScaleNormal="85" workbookViewId="0">
      <selection activeCell="B17" sqref="B17"/>
    </sheetView>
  </sheetViews>
  <sheetFormatPr baseColWidth="10" defaultColWidth="11.44140625" defaultRowHeight="20.100000000000001" customHeight="1" x14ac:dyDescent="0.25"/>
  <cols>
    <col min="1" max="1" width="40.44140625" style="57" customWidth="1"/>
    <col min="2" max="3" width="8.6640625" style="57" customWidth="1"/>
    <col min="4" max="4" width="4.44140625" style="57" customWidth="1"/>
    <col min="5" max="5" width="5" style="57" customWidth="1"/>
    <col min="6" max="9" width="15.44140625" style="57" customWidth="1"/>
    <col min="10" max="10" width="15" style="59" customWidth="1"/>
    <col min="11" max="16384" width="11.44140625" style="59"/>
  </cols>
  <sheetData>
    <row r="1" spans="1:13" ht="24.9" customHeight="1" x14ac:dyDescent="0.25">
      <c r="A1" s="26" t="s">
        <v>85</v>
      </c>
      <c r="B1" s="27"/>
      <c r="C1" s="27"/>
      <c r="D1" s="79"/>
      <c r="E1" s="79"/>
      <c r="F1" s="79"/>
      <c r="G1" s="79"/>
      <c r="H1" s="79"/>
      <c r="I1" s="79"/>
      <c r="J1" s="27"/>
      <c r="K1" s="29"/>
      <c r="L1" s="57"/>
      <c r="M1" s="57"/>
    </row>
    <row r="2" spans="1:13" ht="20.100000000000001" customHeight="1" x14ac:dyDescent="0.25">
      <c r="A2" s="30" t="s">
        <v>43</v>
      </c>
      <c r="B2" s="80"/>
      <c r="C2" s="81"/>
      <c r="D2" s="81"/>
      <c r="E2" s="81"/>
      <c r="F2" s="81"/>
      <c r="G2" s="81"/>
      <c r="H2" s="81"/>
      <c r="I2" s="81"/>
      <c r="J2" s="31"/>
      <c r="K2" s="56"/>
    </row>
    <row r="3" spans="1:13" ht="20.100000000000001" customHeight="1" x14ac:dyDescent="0.25">
      <c r="A3" s="29" t="s">
        <v>87</v>
      </c>
      <c r="B3" s="32"/>
      <c r="C3" s="28"/>
      <c r="D3" s="28"/>
      <c r="E3" s="29"/>
      <c r="F3" s="28"/>
      <c r="G3" s="28"/>
      <c r="H3" s="28"/>
      <c r="I3" s="28"/>
      <c r="J3" s="29"/>
      <c r="K3" s="56"/>
    </row>
    <row r="4" spans="1:13" ht="20.100000000000001" customHeight="1" x14ac:dyDescent="0.25">
      <c r="A4" s="27" t="s">
        <v>95</v>
      </c>
      <c r="B4" s="33"/>
      <c r="C4" s="79"/>
      <c r="D4" s="79"/>
      <c r="E4" s="27"/>
      <c r="F4" s="79"/>
      <c r="G4" s="79"/>
      <c r="H4" s="79"/>
      <c r="I4" s="79"/>
      <c r="J4" s="27"/>
      <c r="K4" s="56"/>
    </row>
    <row r="5" spans="1:13" ht="20.100000000000001" customHeight="1" x14ac:dyDescent="0.25">
      <c r="A5" s="30" t="s">
        <v>2</v>
      </c>
      <c r="B5" s="81"/>
      <c r="C5" s="81"/>
      <c r="D5" s="81"/>
      <c r="E5" s="81"/>
      <c r="F5" s="81"/>
      <c r="G5" s="81"/>
      <c r="H5" s="81"/>
      <c r="I5" s="81"/>
      <c r="J5" s="31"/>
      <c r="K5" s="35"/>
    </row>
    <row r="6" spans="1:13" ht="20.100000000000001" customHeight="1" x14ac:dyDescent="0.25">
      <c r="A6" s="29" t="s">
        <v>5</v>
      </c>
      <c r="B6" s="6">
        <v>2</v>
      </c>
      <c r="C6" s="29" t="s">
        <v>6</v>
      </c>
      <c r="D6" s="3" t="s">
        <v>129</v>
      </c>
      <c r="E6" s="28"/>
      <c r="F6" s="28"/>
      <c r="G6" s="28"/>
      <c r="H6" s="28"/>
      <c r="I6" s="28"/>
      <c r="J6" s="29"/>
      <c r="K6" s="35"/>
    </row>
    <row r="7" spans="1:13" ht="20.100000000000001" customHeight="1" x14ac:dyDescent="0.25">
      <c r="A7" s="29" t="s">
        <v>7</v>
      </c>
      <c r="B7" s="6">
        <v>1</v>
      </c>
      <c r="C7" s="29" t="s">
        <v>6</v>
      </c>
      <c r="D7" s="3" t="s">
        <v>129</v>
      </c>
      <c r="E7" s="28"/>
      <c r="F7" s="28"/>
      <c r="G7" s="28"/>
      <c r="H7" s="28"/>
      <c r="I7" s="28"/>
      <c r="J7" s="29"/>
      <c r="K7" s="35"/>
    </row>
    <row r="8" spans="1:13" ht="20.100000000000001" customHeight="1" x14ac:dyDescent="0.25">
      <c r="A8" s="29" t="s">
        <v>8</v>
      </c>
      <c r="B8" s="11">
        <f>B6-B7</f>
        <v>1</v>
      </c>
      <c r="C8" s="29" t="s">
        <v>9</v>
      </c>
      <c r="D8" s="28"/>
      <c r="E8" s="28"/>
      <c r="F8" s="28"/>
      <c r="G8" s="28"/>
      <c r="H8" s="28"/>
      <c r="I8" s="28"/>
      <c r="J8" s="29"/>
      <c r="K8" s="36"/>
    </row>
    <row r="9" spans="1:13" ht="20.100000000000001" customHeight="1" x14ac:dyDescent="0.25">
      <c r="A9" s="29" t="s">
        <v>70</v>
      </c>
      <c r="B9" s="91">
        <v>1</v>
      </c>
      <c r="C9" s="29" t="s">
        <v>27</v>
      </c>
      <c r="D9" s="3" t="s">
        <v>128</v>
      </c>
      <c r="E9" s="28"/>
      <c r="F9" s="28"/>
      <c r="G9" s="28"/>
      <c r="H9" s="28"/>
      <c r="I9" s="28"/>
      <c r="J9" s="29"/>
      <c r="K9" s="56"/>
    </row>
    <row r="10" spans="1:13" ht="20.100000000000001" customHeight="1" x14ac:dyDescent="0.25">
      <c r="A10" s="29" t="s">
        <v>60</v>
      </c>
      <c r="B10" s="101">
        <f>B8/(B9/100)</f>
        <v>100</v>
      </c>
      <c r="C10" s="29" t="s">
        <v>9</v>
      </c>
      <c r="D10" s="28"/>
      <c r="E10" s="28"/>
      <c r="F10" s="28"/>
      <c r="G10" s="28"/>
      <c r="H10" s="28"/>
      <c r="I10" s="28"/>
      <c r="J10" s="3"/>
      <c r="K10" s="3"/>
    </row>
    <row r="11" spans="1:13" ht="20.100000000000001" customHeight="1" x14ac:dyDescent="0.25">
      <c r="A11" s="27" t="s">
        <v>113</v>
      </c>
      <c r="B11" s="84" t="s">
        <v>114</v>
      </c>
      <c r="C11" s="27" t="s">
        <v>9</v>
      </c>
      <c r="D11" s="37" t="s">
        <v>115</v>
      </c>
      <c r="E11" s="79"/>
      <c r="F11" s="79"/>
      <c r="G11" s="79"/>
      <c r="H11" s="79"/>
      <c r="I11" s="79"/>
      <c r="J11" s="37"/>
      <c r="K11" s="3"/>
    </row>
    <row r="12" spans="1:13" ht="24.9" customHeight="1" x14ac:dyDescent="0.25">
      <c r="A12" s="30" t="s">
        <v>84</v>
      </c>
      <c r="B12" s="81"/>
      <c r="C12" s="92"/>
      <c r="D12" s="81"/>
      <c r="E12" s="81"/>
      <c r="F12" s="81"/>
      <c r="G12" s="81"/>
      <c r="H12" s="81"/>
      <c r="I12" s="81"/>
      <c r="J12" s="39"/>
      <c r="K12" s="3"/>
    </row>
    <row r="13" spans="1:13" ht="20.100000000000001" customHeight="1" x14ac:dyDescent="0.25">
      <c r="A13" s="29" t="s">
        <v>61</v>
      </c>
      <c r="B13" s="89">
        <v>0.5</v>
      </c>
      <c r="C13" s="29" t="s">
        <v>9</v>
      </c>
      <c r="D13" s="29" t="s">
        <v>62</v>
      </c>
      <c r="E13" s="29"/>
      <c r="F13" s="29"/>
      <c r="G13" s="28"/>
      <c r="H13" s="28"/>
      <c r="I13" s="28"/>
      <c r="J13" s="3"/>
      <c r="K13" s="3"/>
    </row>
    <row r="14" spans="1:13" ht="20.100000000000001" customHeight="1" x14ac:dyDescent="0.25">
      <c r="A14" s="29" t="s">
        <v>75</v>
      </c>
      <c r="B14" s="6">
        <v>0.23</v>
      </c>
      <c r="C14" s="29" t="s">
        <v>9</v>
      </c>
      <c r="D14" s="29" t="s">
        <v>69</v>
      </c>
      <c r="E14" s="29"/>
      <c r="F14" s="29"/>
      <c r="G14" s="28"/>
      <c r="H14" s="28"/>
      <c r="I14" s="28"/>
      <c r="J14" s="42"/>
      <c r="K14" s="43"/>
    </row>
    <row r="15" spans="1:13" ht="20.100000000000001" customHeight="1" x14ac:dyDescent="0.25">
      <c r="A15" s="44" t="s">
        <v>72</v>
      </c>
      <c r="B15" s="28"/>
      <c r="C15" s="53"/>
      <c r="D15" s="28"/>
      <c r="E15" s="28"/>
      <c r="F15" s="28"/>
      <c r="G15" s="28"/>
      <c r="H15" s="28"/>
      <c r="I15" s="28"/>
      <c r="J15" s="3"/>
      <c r="K15" s="3"/>
    </row>
    <row r="16" spans="1:13" ht="20.100000000000001" customHeight="1" x14ac:dyDescent="0.25">
      <c r="A16" s="93" t="s">
        <v>80</v>
      </c>
      <c r="B16" s="28"/>
      <c r="C16" s="53"/>
      <c r="D16" s="28"/>
      <c r="E16" s="28"/>
      <c r="F16" s="28"/>
      <c r="G16" s="28"/>
      <c r="H16" s="28"/>
      <c r="I16" s="28"/>
      <c r="J16" s="42"/>
      <c r="K16" s="43"/>
    </row>
    <row r="17" spans="1:11" ht="20.100000000000001" customHeight="1" x14ac:dyDescent="0.25">
      <c r="A17" s="29" t="s">
        <v>53</v>
      </c>
      <c r="B17" s="65">
        <v>1</v>
      </c>
      <c r="C17" s="29" t="s">
        <v>11</v>
      </c>
      <c r="D17" s="29" t="s">
        <v>116</v>
      </c>
      <c r="E17" s="28"/>
      <c r="F17" s="28"/>
      <c r="G17" s="28"/>
      <c r="H17" s="28"/>
      <c r="I17" s="28"/>
      <c r="J17" s="29"/>
      <c r="K17" s="29"/>
    </row>
    <row r="18" spans="1:11" ht="20.100000000000001" customHeight="1" x14ac:dyDescent="0.25">
      <c r="A18" s="29" t="s">
        <v>52</v>
      </c>
      <c r="B18" s="94">
        <v>1</v>
      </c>
      <c r="C18" s="29" t="s">
        <v>11</v>
      </c>
      <c r="D18" s="29" t="s">
        <v>117</v>
      </c>
      <c r="E18" s="28"/>
      <c r="F18" s="28"/>
      <c r="G18" s="28"/>
      <c r="H18" s="28"/>
      <c r="I18" s="28"/>
      <c r="J18" s="3"/>
      <c r="K18" s="61"/>
    </row>
    <row r="19" spans="1:11" ht="20.100000000000001" customHeight="1" x14ac:dyDescent="0.25">
      <c r="A19" s="29" t="s">
        <v>71</v>
      </c>
      <c r="B19" s="64">
        <f>B17/B18</f>
        <v>1</v>
      </c>
      <c r="C19" s="29" t="s">
        <v>11</v>
      </c>
      <c r="D19" s="28"/>
      <c r="E19" s="28"/>
      <c r="F19" s="28"/>
      <c r="G19" s="28"/>
      <c r="H19" s="28"/>
      <c r="I19" s="28"/>
      <c r="J19" s="3"/>
      <c r="K19" s="61"/>
    </row>
    <row r="20" spans="1:11" ht="20.100000000000001" customHeight="1" x14ac:dyDescent="0.25">
      <c r="A20" s="93" t="s">
        <v>81</v>
      </c>
      <c r="B20" s="28"/>
      <c r="C20" s="28"/>
      <c r="D20" s="28"/>
      <c r="E20" s="28"/>
      <c r="F20" s="28"/>
      <c r="G20" s="28"/>
      <c r="H20" s="28"/>
      <c r="I20" s="28"/>
      <c r="J20" s="3"/>
      <c r="K20" s="61"/>
    </row>
    <row r="21" spans="1:11" ht="20.100000000000001" customHeight="1" x14ac:dyDescent="0.25">
      <c r="A21" s="29" t="s">
        <v>53</v>
      </c>
      <c r="B21" s="65">
        <v>1</v>
      </c>
      <c r="C21" s="29" t="s">
        <v>11</v>
      </c>
      <c r="D21" s="29" t="s">
        <v>116</v>
      </c>
      <c r="E21" s="28"/>
      <c r="F21" s="28"/>
      <c r="G21" s="28"/>
      <c r="H21" s="28"/>
      <c r="I21" s="29"/>
      <c r="J21" s="3"/>
      <c r="K21" s="61"/>
    </row>
    <row r="22" spans="1:11" ht="20.100000000000001" customHeight="1" x14ac:dyDescent="0.25">
      <c r="A22" s="29" t="s">
        <v>52</v>
      </c>
      <c r="B22" s="94">
        <v>5</v>
      </c>
      <c r="C22" s="29" t="s">
        <v>11</v>
      </c>
      <c r="D22" s="29" t="s">
        <v>117</v>
      </c>
      <c r="E22" s="28"/>
      <c r="F22" s="28"/>
      <c r="G22" s="28"/>
      <c r="H22" s="28"/>
      <c r="I22" s="28"/>
      <c r="J22" s="3"/>
      <c r="K22" s="61"/>
    </row>
    <row r="23" spans="1:11" ht="20.100000000000001" customHeight="1" x14ac:dyDescent="0.25">
      <c r="A23" s="29" t="s">
        <v>71</v>
      </c>
      <c r="B23" s="64">
        <f>B21/B22</f>
        <v>0.2</v>
      </c>
      <c r="C23" s="29" t="s">
        <v>11</v>
      </c>
      <c r="D23" s="29"/>
      <c r="E23" s="28"/>
      <c r="F23" s="28"/>
      <c r="G23" s="28"/>
      <c r="H23" s="28"/>
      <c r="I23" s="28"/>
      <c r="J23" s="3"/>
      <c r="K23" s="61"/>
    </row>
    <row r="24" spans="1:11" ht="20.100000000000001" customHeight="1" x14ac:dyDescent="0.25">
      <c r="A24" s="76" t="s">
        <v>76</v>
      </c>
      <c r="B24" s="110">
        <f>((1/B19)*B14)+((1/B23)*B14)+B13</f>
        <v>1.8800000000000001</v>
      </c>
      <c r="C24" s="27" t="s">
        <v>9</v>
      </c>
      <c r="D24" s="37" t="s">
        <v>83</v>
      </c>
      <c r="E24" s="79"/>
      <c r="F24" s="79"/>
      <c r="G24" s="28"/>
      <c r="H24" s="28"/>
      <c r="I24" s="28"/>
      <c r="J24" s="3"/>
      <c r="K24" s="61"/>
    </row>
    <row r="25" spans="1:11" ht="24.9" customHeight="1" x14ac:dyDescent="0.25">
      <c r="A25" s="30" t="s">
        <v>82</v>
      </c>
      <c r="B25" s="81"/>
      <c r="C25" s="81"/>
      <c r="D25" s="81"/>
      <c r="E25" s="81"/>
      <c r="F25" s="81"/>
      <c r="G25" s="81"/>
      <c r="H25" s="81"/>
      <c r="I25" s="81"/>
      <c r="J25" s="39"/>
      <c r="K25" s="61"/>
    </row>
    <row r="26" spans="1:11" ht="20.100000000000001" customHeight="1" x14ac:dyDescent="0.25">
      <c r="A26" s="29" t="s">
        <v>73</v>
      </c>
      <c r="B26" s="94">
        <v>25</v>
      </c>
      <c r="C26" s="29" t="s">
        <v>63</v>
      </c>
      <c r="D26" s="29" t="s">
        <v>118</v>
      </c>
      <c r="E26" s="29"/>
      <c r="F26" s="29"/>
      <c r="G26" s="29"/>
      <c r="H26" s="29"/>
      <c r="I26" s="28"/>
      <c r="J26" s="3"/>
      <c r="K26" s="61"/>
    </row>
    <row r="27" spans="1:11" ht="20.100000000000001" customHeight="1" x14ac:dyDescent="0.25">
      <c r="A27" s="29" t="s">
        <v>64</v>
      </c>
      <c r="B27" s="53">
        <f>(B14*(1/B19)*B14)/2+(B14*(1/B23)*B14)/2+B14*B13</f>
        <v>0.27370000000000005</v>
      </c>
      <c r="C27" s="29" t="s">
        <v>65</v>
      </c>
      <c r="D27" s="29"/>
      <c r="E27" s="29"/>
      <c r="F27" s="29"/>
      <c r="G27" s="29"/>
      <c r="H27" s="29"/>
      <c r="I27" s="28"/>
      <c r="J27" s="3"/>
      <c r="K27" s="61"/>
    </row>
    <row r="28" spans="1:11" ht="20.100000000000001" customHeight="1" x14ac:dyDescent="0.25">
      <c r="A28" s="29" t="s">
        <v>74</v>
      </c>
      <c r="B28" s="53">
        <f>((B14^2+((1/B19)*B14)^2))^0.5+((B14^2+((1/B23)*B14)^2))^0.5+B13</f>
        <v>1.9980436074721526</v>
      </c>
      <c r="C28" s="29" t="s">
        <v>9</v>
      </c>
      <c r="D28" s="29"/>
      <c r="E28" s="29"/>
      <c r="F28" s="29"/>
      <c r="G28" s="29"/>
      <c r="H28" s="29"/>
      <c r="I28" s="28"/>
      <c r="J28" s="3"/>
      <c r="K28" s="61"/>
    </row>
    <row r="29" spans="1:11" ht="20.100000000000001" customHeight="1" x14ac:dyDescent="0.25">
      <c r="A29" s="29" t="s">
        <v>66</v>
      </c>
      <c r="B29" s="53">
        <f>B27/B28</f>
        <v>0.13698399723431195</v>
      </c>
      <c r="C29" s="29" t="s">
        <v>9</v>
      </c>
      <c r="D29" s="29"/>
      <c r="E29" s="29"/>
      <c r="F29" s="29"/>
      <c r="G29" s="29"/>
      <c r="H29" s="29"/>
      <c r="I29" s="29"/>
      <c r="J29" s="3"/>
      <c r="K29" s="61"/>
    </row>
    <row r="30" spans="1:11" ht="20.100000000000001" customHeight="1" x14ac:dyDescent="0.25">
      <c r="A30" s="29" t="s">
        <v>78</v>
      </c>
      <c r="B30" s="53">
        <f>B29^(2/3)</f>
        <v>0.2657336522989282</v>
      </c>
      <c r="C30" s="29" t="s">
        <v>9</v>
      </c>
      <c r="D30" s="29"/>
      <c r="E30" s="29"/>
      <c r="F30" s="29"/>
      <c r="G30" s="29"/>
      <c r="H30" s="29"/>
      <c r="I30" s="29"/>
      <c r="J30" s="3"/>
      <c r="K30" s="61"/>
    </row>
    <row r="31" spans="1:11" ht="20.100000000000001" customHeight="1" x14ac:dyDescent="0.25">
      <c r="A31" s="29" t="s">
        <v>67</v>
      </c>
      <c r="B31" s="55">
        <f>B9/100*1.5</f>
        <v>1.4999999999999999E-2</v>
      </c>
      <c r="C31" s="29" t="s">
        <v>11</v>
      </c>
      <c r="D31" s="29" t="s">
        <v>68</v>
      </c>
      <c r="E31" s="29"/>
      <c r="F31" s="29"/>
      <c r="G31" s="29"/>
      <c r="H31" s="29"/>
      <c r="I31" s="29"/>
      <c r="J31" s="3"/>
      <c r="K31" s="61"/>
    </row>
    <row r="32" spans="1:11" ht="20.100000000000001" customHeight="1" x14ac:dyDescent="0.25">
      <c r="A32" s="29" t="s">
        <v>79</v>
      </c>
      <c r="B32" s="53">
        <f>B31^(1/2)</f>
        <v>0.1224744871391589</v>
      </c>
      <c r="C32" s="29" t="s">
        <v>11</v>
      </c>
      <c r="D32" s="29"/>
      <c r="E32" s="29"/>
      <c r="F32" s="29"/>
      <c r="G32" s="29"/>
      <c r="H32" s="29"/>
      <c r="I32" s="29"/>
      <c r="J32" s="3"/>
      <c r="K32" s="61"/>
    </row>
    <row r="33" spans="1:13" ht="20.100000000000001" customHeight="1" x14ac:dyDescent="0.25">
      <c r="A33" s="29" t="s">
        <v>77</v>
      </c>
      <c r="B33" s="95">
        <f>B26*B30*B32</f>
        <v>0.81363981952317022</v>
      </c>
      <c r="C33" s="29" t="s">
        <v>12</v>
      </c>
      <c r="D33" s="28"/>
      <c r="E33" s="28"/>
      <c r="F33" s="28"/>
      <c r="G33" s="28"/>
      <c r="H33" s="28"/>
      <c r="I33" s="29"/>
      <c r="J33" s="3"/>
      <c r="K33" s="61"/>
    </row>
    <row r="34" spans="1:13" ht="20.100000000000001" customHeight="1" x14ac:dyDescent="0.25">
      <c r="A34" s="76" t="s">
        <v>94</v>
      </c>
      <c r="B34" s="110">
        <f>B27*B33</f>
        <v>0.22269321860349173</v>
      </c>
      <c r="C34" s="76" t="s">
        <v>32</v>
      </c>
      <c r="D34" s="4">
        <f>B34*1000</f>
        <v>222.69321860349172</v>
      </c>
      <c r="E34" s="5" t="s">
        <v>108</v>
      </c>
      <c r="F34" s="79"/>
      <c r="G34" s="79"/>
      <c r="H34" s="79"/>
      <c r="I34" s="79"/>
      <c r="J34" s="79"/>
      <c r="K34" s="28"/>
      <c r="L34" s="28"/>
      <c r="M34" s="28"/>
    </row>
    <row r="35" spans="1:13" ht="20.100000000000001" customHeight="1" x14ac:dyDescent="0.25">
      <c r="I35" s="56"/>
      <c r="J35" s="28"/>
      <c r="K35" s="44"/>
      <c r="L35" s="28"/>
      <c r="M35" s="28"/>
    </row>
    <row r="36" spans="1:13" ht="20.100000000000001" customHeight="1" x14ac:dyDescent="0.25">
      <c r="J36" s="28"/>
      <c r="K36" s="28"/>
      <c r="L36" s="28"/>
      <c r="M36" s="28"/>
    </row>
    <row r="37" spans="1:13" ht="20.100000000000001" customHeight="1" x14ac:dyDescent="0.25">
      <c r="J37" s="28"/>
      <c r="K37" s="28"/>
      <c r="L37" s="28"/>
      <c r="M37" s="28"/>
    </row>
    <row r="38" spans="1:13" ht="20.100000000000001" customHeight="1" x14ac:dyDescent="0.25">
      <c r="J38" s="28"/>
      <c r="K38" s="28"/>
      <c r="L38" s="28"/>
      <c r="M38" s="28"/>
    </row>
    <row r="39" spans="1:13" ht="20.100000000000001" customHeight="1" x14ac:dyDescent="0.25">
      <c r="J39" s="28"/>
      <c r="K39" s="28"/>
      <c r="L39" s="28"/>
      <c r="M39" s="28"/>
    </row>
    <row r="43" spans="1:13" ht="20.100000000000001" customHeight="1" x14ac:dyDescent="0.25">
      <c r="C43" s="74"/>
    </row>
    <row r="45" spans="1:13" ht="20.100000000000001" customHeight="1" x14ac:dyDescent="0.25">
      <c r="C45" s="74"/>
    </row>
    <row r="46" spans="1:13" ht="20.100000000000001" customHeight="1" x14ac:dyDescent="0.25">
      <c r="D46" s="29"/>
      <c r="E46" s="29"/>
      <c r="F46" s="29"/>
      <c r="G46" s="29"/>
      <c r="H46" s="29"/>
    </row>
    <row r="47" spans="1:13" ht="20.100000000000001" customHeight="1" x14ac:dyDescent="0.25">
      <c r="C47" s="56"/>
    </row>
    <row r="49" spans="1:9" ht="20.100000000000001" customHeight="1" x14ac:dyDescent="0.25">
      <c r="I49" s="29"/>
    </row>
    <row r="52" spans="1:9" s="57" customFormat="1" ht="20.100000000000001" customHeight="1" x14ac:dyDescent="0.25">
      <c r="B52" s="74"/>
    </row>
    <row r="53" spans="1:9" s="57" customFormat="1" ht="20.100000000000001" customHeight="1" x14ac:dyDescent="0.25">
      <c r="B53" s="74"/>
    </row>
    <row r="54" spans="1:9" s="57" customFormat="1" ht="20.100000000000001" customHeight="1" x14ac:dyDescent="0.25">
      <c r="B54" s="74"/>
    </row>
    <row r="55" spans="1:9" s="57" customFormat="1" ht="20.100000000000001" customHeight="1" x14ac:dyDescent="0.25">
      <c r="A55" s="29"/>
      <c r="B55" s="74"/>
    </row>
    <row r="56" spans="1:9" s="57" customFormat="1" ht="20.100000000000001" customHeight="1" x14ac:dyDescent="0.25">
      <c r="A56" s="56"/>
    </row>
    <row r="57" spans="1:9" s="57" customFormat="1" ht="20.100000000000001" customHeight="1" x14ac:dyDescent="0.25">
      <c r="A57" s="29"/>
      <c r="B57" s="74"/>
    </row>
    <row r="58" spans="1:9" s="57" customFormat="1" ht="20.100000000000001" customHeight="1" x14ac:dyDescent="0.25">
      <c r="A58" s="56"/>
      <c r="B58" s="74"/>
    </row>
    <row r="59" spans="1:9" s="57" customFormat="1" ht="20.100000000000001" customHeight="1" x14ac:dyDescent="0.25">
      <c r="A59" s="29"/>
      <c r="B59" s="74"/>
    </row>
    <row r="60" spans="1:9" s="57" customFormat="1" ht="20.100000000000001" customHeight="1" x14ac:dyDescent="0.25">
      <c r="A60" s="56"/>
    </row>
  </sheetData>
  <sheetProtection password="DDF1" sheet="1" objects="1" selectLockedCells="1"/>
  <pageMargins left="0.70866141732283472" right="0.70866141732283472" top="0.78740157480314965" bottom="0.78740157480314965" header="0.31496062992125984" footer="0.31496062992125984"/>
  <pageSetup paperSize="9" scale="61"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Information</vt:lpstr>
      <vt:lpstr>Schlitzpass Gesamt</vt:lpstr>
      <vt:lpstr>Schlitzpass Einzelbecken</vt:lpstr>
      <vt:lpstr>Beckenpass Gesamt</vt:lpstr>
      <vt:lpstr>Beckenpass Einzelbecken</vt:lpstr>
      <vt:lpstr>Umgehungsgerinne FURT</vt:lpstr>
      <vt:lpstr>'Beckenpass Einzelbecken'!Druckbereich</vt:lpstr>
      <vt:lpstr>'Beckenpass Gesamt'!Druckbereich</vt:lpstr>
      <vt:lpstr>'Schlitzpass Einzelbecken'!Druckbereich</vt:lpstr>
      <vt:lpstr>'Schlitzpass Gesamt'!Druckbereich</vt:lpstr>
      <vt:lpstr>'Umgehungsgerinne FURT'!Druckbereich</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 FAH</dc:title>
  <dc:creator>Bernhard Zeiringer;WA2</dc:creator>
  <dc:description>Im Auftrag der NÖLR</dc:description>
  <cp:lastModifiedBy>Buchart Michael (WA2)</cp:lastModifiedBy>
  <cp:lastPrinted>2010-06-10T07:31:42Z</cp:lastPrinted>
  <dcterms:created xsi:type="dcterms:W3CDTF">2009-03-05T10:58:19Z</dcterms:created>
  <dcterms:modified xsi:type="dcterms:W3CDTF">2023-09-22T09:43:51Z</dcterms:modified>
</cp:coreProperties>
</file>